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FS Analysis\2026\09 - September\40 - Sharecount\"/>
    </mc:Choice>
  </mc:AlternateContent>
  <xr:revisionPtr revIDLastSave="0" documentId="13_ncr:1_{DA0CD15D-1D48-4909-88A6-4419FE8F4CE1}" xr6:coauthVersionLast="47" xr6:coauthVersionMax="47" xr10:uidLastSave="{00000000-0000-0000-0000-000000000000}"/>
  <bookViews>
    <workbookView xWindow="-4830" yWindow="-21720" windowWidth="38640" windowHeight="21120" xr2:uid="{00000000-000D-0000-FFFF-FFFF00000000}"/>
  </bookViews>
  <sheets>
    <sheet name="Share buyback program SBB " sheetId="1" r:id="rId1"/>
    <sheet name="SBB cash" sheetId="5" r:id="rId2"/>
    <sheet name="Shares issued, TS &amp; outstanding" sheetId="3" r:id="rId3"/>
    <sheet name="EPS" sheetId="7" r:id="rId4"/>
  </sheets>
  <definedNames>
    <definedName name="_xlnm.Print_Area" localSheetId="3">EPS!$A$1:$AQ$19</definedName>
    <definedName name="_xlnm.Print_Area" localSheetId="0">'Share buyback program SBB '!$A$1:$H$183</definedName>
    <definedName name="_xlnm.Print_Area" localSheetId="2">'Shares issued, TS &amp; outstanding'!$A$1:$F$99</definedName>
    <definedName name="SpreadsheetBuilder_2" hidden="1">#REF!</definedName>
    <definedName name="SpreadsheetBuilder_3" hidden="1">#REF!</definedName>
    <definedName name="SpreadsheetBuilder_4" hidden="1">#REF!</definedName>
    <definedName name="SpreadsheetBuilder_5"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 l="1"/>
  <c r="G13" i="1"/>
  <c r="G12" i="1"/>
  <c r="G11" i="1"/>
  <c r="G10" i="1"/>
  <c r="G9" i="1"/>
  <c r="G8" i="1"/>
  <c r="G7" i="1"/>
  <c r="G6" i="1"/>
  <c r="E14" i="1"/>
  <c r="E13" i="1"/>
  <c r="E12" i="1"/>
  <c r="E11" i="1"/>
  <c r="E10" i="1"/>
  <c r="E9" i="1"/>
  <c r="E8" i="1"/>
  <c r="E7" i="1"/>
  <c r="D49" i="5"/>
  <c r="G177" i="1" l="1"/>
  <c r="E177" i="1"/>
  <c r="D177" i="1"/>
  <c r="C177" i="1"/>
  <c r="E6" i="1"/>
  <c r="AW5" i="7" l="1"/>
  <c r="C95" i="3" l="1"/>
  <c r="E94" i="3"/>
  <c r="E93" i="3"/>
  <c r="E49" i="5"/>
  <c r="E19" i="1" l="1"/>
  <c r="G19" i="1" s="1"/>
  <c r="E20" i="1"/>
  <c r="G20" i="1" s="1"/>
  <c r="E21" i="1"/>
  <c r="G21" i="1" s="1"/>
  <c r="E22" i="1"/>
  <c r="G22" i="1" s="1"/>
  <c r="E16" i="1" l="1"/>
  <c r="E17" i="1"/>
  <c r="G17" i="1" s="1"/>
  <c r="E18" i="1"/>
  <c r="G18" i="1" s="1"/>
  <c r="G16" i="1" l="1"/>
  <c r="E91" i="3"/>
  <c r="E90" i="3"/>
  <c r="E48" i="5"/>
  <c r="AM10" i="7"/>
  <c r="AN10" i="7"/>
  <c r="AY10" i="7" l="1"/>
  <c r="AY12" i="7" s="1"/>
  <c r="AY16" i="7" s="1"/>
  <c r="AW10" i="7"/>
  <c r="AW12" i="7" s="1"/>
  <c r="AW16" i="7" s="1"/>
  <c r="AV10" i="7"/>
  <c r="AV15" i="7" s="1"/>
  <c r="AU10" i="7"/>
  <c r="AU12" i="7" s="1"/>
  <c r="AU16" i="7" s="1"/>
  <c r="AS10" i="7"/>
  <c r="AT10" i="7"/>
  <c r="AX10" i="7"/>
  <c r="E88" i="3"/>
  <c r="E87" i="3"/>
  <c r="AT15" i="7" l="1"/>
  <c r="AT12" i="7"/>
  <c r="AT16" i="7" s="1"/>
  <c r="AS15" i="7"/>
  <c r="AS12" i="7"/>
  <c r="AS16" i="7" s="1"/>
  <c r="AX12" i="7"/>
  <c r="AX16" i="7" s="1"/>
  <c r="AX15" i="7"/>
  <c r="AV12" i="7"/>
  <c r="AV16" i="7" s="1"/>
  <c r="AU15" i="7"/>
  <c r="AW15" i="7"/>
  <c r="AY15" i="7"/>
  <c r="AP10" i="7" l="1"/>
  <c r="AP12" i="7" s="1"/>
  <c r="AP5" i="7"/>
  <c r="AP16" i="7" l="1"/>
  <c r="AP15" i="7"/>
  <c r="AQ10" i="7" l="1"/>
  <c r="AQ15" i="7" s="1"/>
  <c r="AQ12" i="7" l="1"/>
  <c r="AQ16" i="7" s="1"/>
  <c r="E85" i="3" l="1"/>
  <c r="E83" i="3"/>
  <c r="D84" i="3" l="1"/>
  <c r="E84" i="3" s="1"/>
  <c r="AN5" i="7"/>
  <c r="E45" i="5"/>
  <c r="E46" i="5"/>
  <c r="AO10" i="7"/>
  <c r="AO12" i="7" s="1"/>
  <c r="AO16" i="7" s="1"/>
  <c r="AO15" i="7" l="1"/>
  <c r="AN16" i="7" l="1"/>
  <c r="AN15" i="7"/>
  <c r="E81" i="3"/>
  <c r="E80" i="3"/>
  <c r="AM9" i="7" l="1"/>
  <c r="AM7" i="7"/>
  <c r="AM5" i="7"/>
  <c r="AL7" i="7"/>
  <c r="E25" i="1" l="1"/>
  <c r="G25" i="1" s="1"/>
  <c r="E24" i="1"/>
  <c r="G24" i="1" l="1"/>
  <c r="AM15" i="7"/>
  <c r="AM12" i="7" l="1"/>
  <c r="AM16" i="7" s="1"/>
  <c r="E26" i="1" l="1"/>
  <c r="E27" i="1"/>
  <c r="G27" i="1" s="1"/>
  <c r="E78" i="3"/>
  <c r="E76" i="3"/>
  <c r="E28" i="1"/>
  <c r="E77" i="3" s="1"/>
  <c r="G26" i="1" l="1"/>
  <c r="G28" i="1"/>
  <c r="E74" i="3" l="1"/>
  <c r="D42" i="5"/>
  <c r="E33" i="1"/>
  <c r="G33" i="1" s="1"/>
  <c r="E32" i="1"/>
  <c r="G32" i="1" s="1"/>
  <c r="E31" i="1"/>
  <c r="G31" i="1" s="1"/>
  <c r="E30" i="1"/>
  <c r="E34" i="1"/>
  <c r="G34" i="1" s="1"/>
  <c r="D70" i="3"/>
  <c r="G36" i="1"/>
  <c r="G37" i="1"/>
  <c r="G38" i="1"/>
  <c r="AG3" i="7"/>
  <c r="AH10" i="7"/>
  <c r="AH15" i="7" s="1"/>
  <c r="AH16" i="7" s="1"/>
  <c r="G30" i="1" l="1"/>
  <c r="E73" i="3"/>
  <c r="AH12" i="7"/>
  <c r="E71" i="3" l="1"/>
  <c r="E39" i="1"/>
  <c r="E40" i="1"/>
  <c r="G40" i="1" s="1"/>
  <c r="G39" i="1" l="1"/>
  <c r="E70" i="3"/>
  <c r="D67" i="3"/>
  <c r="E41" i="1"/>
  <c r="G41" i="1" s="1"/>
  <c r="E42" i="1"/>
  <c r="G42" i="1" s="1"/>
  <c r="AI10" i="7"/>
  <c r="AI15" i="7" s="1"/>
  <c r="AG10" i="7"/>
  <c r="AG12" i="7" s="1"/>
  <c r="AG16" i="7" s="1"/>
  <c r="AI12" i="7" l="1"/>
  <c r="AI16" i="7" s="1"/>
  <c r="AG15" i="7"/>
  <c r="E67" i="3"/>
  <c r="E68" i="3"/>
  <c r="E49" i="1"/>
  <c r="G49" i="1" s="1"/>
  <c r="E48" i="1"/>
  <c r="G48" i="1" s="1"/>
  <c r="E47" i="1"/>
  <c r="G47" i="1" s="1"/>
  <c r="E46" i="1"/>
  <c r="G46" i="1" s="1"/>
  <c r="E45" i="1"/>
  <c r="G45" i="1" s="1"/>
  <c r="E44" i="1"/>
  <c r="G44" i="1" s="1"/>
  <c r="E43" i="1"/>
  <c r="G43" i="1" l="1"/>
  <c r="D64" i="3"/>
  <c r="E53" i="1"/>
  <c r="G53" i="1" s="1"/>
  <c r="E52" i="1"/>
  <c r="G52" i="1" s="1"/>
  <c r="E51" i="1"/>
  <c r="G51" i="1" s="1"/>
  <c r="E50" i="1"/>
  <c r="G50" i="1" s="1"/>
  <c r="AF10" i="7" l="1"/>
  <c r="AF16" i="7" s="1"/>
  <c r="AJ10" i="7"/>
  <c r="AJ12" i="7" s="1"/>
  <c r="AJ16" i="7" s="1"/>
  <c r="AJ15" i="7" l="1"/>
  <c r="AF15" i="7"/>
  <c r="AE3" i="7"/>
  <c r="E64" i="3" l="1"/>
  <c r="E57" i="1"/>
  <c r="G57" i="1" s="1"/>
  <c r="E56" i="1"/>
  <c r="G56" i="1" s="1"/>
  <c r="E55" i="1"/>
  <c r="G55" i="1" s="1"/>
  <c r="E54" i="1"/>
  <c r="G54" i="1" l="1"/>
  <c r="E65" i="3"/>
  <c r="AE10" i="7" l="1"/>
  <c r="AE12" i="7" s="1"/>
  <c r="D61" i="3"/>
  <c r="E61" i="1"/>
  <c r="G61" i="1" s="1"/>
  <c r="E60" i="1"/>
  <c r="G60" i="1" s="1"/>
  <c r="E59" i="1"/>
  <c r="G59" i="1" s="1"/>
  <c r="E58" i="1"/>
  <c r="G58" i="1" l="1"/>
  <c r="AE16" i="7"/>
  <c r="AE15" i="7"/>
  <c r="E65" i="1" l="1"/>
  <c r="G65" i="1" s="1"/>
  <c r="E64" i="1"/>
  <c r="G64" i="1" s="1"/>
  <c r="E63" i="1"/>
  <c r="G63" i="1" s="1"/>
  <c r="E62" i="1"/>
  <c r="E62" i="3"/>
  <c r="E66" i="1"/>
  <c r="G66" i="1" s="1"/>
  <c r="E70" i="1"/>
  <c r="G70" i="1" s="1"/>
  <c r="E69" i="1"/>
  <c r="G69" i="1" s="1"/>
  <c r="E68" i="1"/>
  <c r="G68" i="1" s="1"/>
  <c r="E67" i="1"/>
  <c r="G67" i="1" s="1"/>
  <c r="G62" i="1" l="1"/>
  <c r="E61" i="3"/>
  <c r="C73" i="1" l="1"/>
  <c r="E73" i="1" s="1"/>
  <c r="G73" i="1" s="1"/>
  <c r="C72" i="1"/>
  <c r="C74" i="1"/>
  <c r="E72" i="1" l="1"/>
  <c r="G72" i="1" l="1"/>
  <c r="AD8" i="7"/>
  <c r="AD5" i="7"/>
  <c r="D36" i="5"/>
  <c r="AC10" i="7"/>
  <c r="AC15" i="7" s="1"/>
  <c r="E59" i="3"/>
  <c r="C75" i="1"/>
  <c r="C76" i="1"/>
  <c r="E74" i="1"/>
  <c r="E31" i="5"/>
  <c r="AD10" i="7" l="1"/>
  <c r="AD15" i="7" s="1"/>
  <c r="E75" i="1"/>
  <c r="G75" i="1" s="1"/>
  <c r="G74" i="1"/>
  <c r="AC12" i="7"/>
  <c r="AC16" i="7" s="1"/>
  <c r="AD12" i="7"/>
  <c r="AD16" i="7" s="1"/>
  <c r="E76" i="1"/>
  <c r="G76" i="1" s="1"/>
  <c r="AA10" i="7"/>
  <c r="AA15" i="7" s="1"/>
  <c r="E56" i="3"/>
  <c r="D33" i="5"/>
  <c r="E79" i="1"/>
  <c r="G79" i="1" s="1"/>
  <c r="E78" i="1"/>
  <c r="G78" i="1" s="1"/>
  <c r="E77" i="1"/>
  <c r="V10" i="7"/>
  <c r="V12" i="7" s="1"/>
  <c r="T10" i="7"/>
  <c r="T12" i="7" s="1"/>
  <c r="S10" i="7"/>
  <c r="S12" i="7" s="1"/>
  <c r="R10" i="7"/>
  <c r="R12" i="7" s="1"/>
  <c r="Q10" i="7"/>
  <c r="Q12" i="7" s="1"/>
  <c r="Y10" i="7"/>
  <c r="Y12" i="7" s="1"/>
  <c r="C35" i="3"/>
  <c r="C40" i="3" s="1"/>
  <c r="E53" i="3"/>
  <c r="E52" i="3"/>
  <c r="E51" i="3"/>
  <c r="D58" i="3" l="1"/>
  <c r="E58" i="3" s="1"/>
  <c r="D55" i="3"/>
  <c r="E55" i="3" s="1"/>
  <c r="G77" i="1"/>
  <c r="AA12" i="7"/>
  <c r="AA16" i="7" s="1"/>
  <c r="D50" i="3"/>
  <c r="E50" i="3" s="1"/>
  <c r="E80" i="1" l="1"/>
  <c r="E81" i="1"/>
  <c r="G81" i="1" s="1"/>
  <c r="E82" i="1"/>
  <c r="G82" i="1" s="1"/>
  <c r="E83" i="1"/>
  <c r="G83" i="1" s="1"/>
  <c r="Y15" i="7"/>
  <c r="G80" i="1" l="1"/>
  <c r="Y16" i="7"/>
  <c r="E48" i="3"/>
  <c r="D47" i="3"/>
  <c r="E85" i="1" l="1"/>
  <c r="G85" i="1" l="1"/>
  <c r="U5" i="7"/>
  <c r="U10" i="7" s="1"/>
  <c r="E47" i="3"/>
  <c r="E86" i="1"/>
  <c r="E87" i="1"/>
  <c r="G87" i="1" s="1"/>
  <c r="E88" i="1"/>
  <c r="G88" i="1" s="1"/>
  <c r="E89" i="1"/>
  <c r="G89" i="1" s="1"/>
  <c r="E90" i="1"/>
  <c r="G90" i="1" s="1"/>
  <c r="E91" i="1"/>
  <c r="G91" i="1" s="1"/>
  <c r="G86" i="1" l="1"/>
  <c r="W5" i="7"/>
  <c r="W10" i="7" s="1"/>
  <c r="W12" i="7" s="1"/>
  <c r="V15" i="7"/>
  <c r="W15" i="7" l="1"/>
  <c r="V16" i="7"/>
  <c r="E45" i="3"/>
  <c r="D28" i="5"/>
  <c r="E92" i="1"/>
  <c r="E93" i="1"/>
  <c r="G93" i="1" s="1"/>
  <c r="E94" i="1"/>
  <c r="G94" i="1" s="1"/>
  <c r="E95" i="1"/>
  <c r="G95" i="1" s="1"/>
  <c r="E96" i="1"/>
  <c r="G96" i="1" s="1"/>
  <c r="G92" i="1" l="1"/>
  <c r="W16" i="7"/>
  <c r="E97" i="1"/>
  <c r="C43" i="3"/>
  <c r="U15" i="7"/>
  <c r="U11" i="7"/>
  <c r="U12" i="7" s="1"/>
  <c r="C46" i="3" l="1"/>
  <c r="C49" i="3" s="1"/>
  <c r="C54" i="3" s="1"/>
  <c r="C57" i="3" s="1"/>
  <c r="C60" i="3" s="1"/>
  <c r="C63" i="3" s="1"/>
  <c r="C66" i="3" s="1"/>
  <c r="C69" i="3" s="1"/>
  <c r="C72" i="3" s="1"/>
  <c r="C75" i="3" s="1"/>
  <c r="C79" i="3" s="1"/>
  <c r="C82" i="3" s="1"/>
  <c r="C86" i="3" s="1"/>
  <c r="C89" i="3" s="1"/>
  <c r="C92" i="3" s="1"/>
  <c r="G97" i="1"/>
  <c r="U16" i="7"/>
  <c r="E98" i="1" l="1"/>
  <c r="E42" i="3"/>
  <c r="G98" i="1" l="1"/>
  <c r="D36" i="3"/>
  <c r="E23" i="5"/>
  <c r="E99" i="1"/>
  <c r="E100" i="1"/>
  <c r="G100" i="1" s="1"/>
  <c r="E101" i="1"/>
  <c r="G101" i="1" s="1"/>
  <c r="E102" i="1"/>
  <c r="E103" i="1"/>
  <c r="G103" i="1" s="1"/>
  <c r="E104" i="1"/>
  <c r="G104" i="1" s="1"/>
  <c r="E105" i="1"/>
  <c r="G105" i="1" s="1"/>
  <c r="E107" i="1"/>
  <c r="G107" i="1" s="1"/>
  <c r="T15" i="7" l="1"/>
  <c r="D41" i="3"/>
  <c r="D44" i="3" s="1"/>
  <c r="E44" i="3" s="1"/>
  <c r="G102" i="1"/>
  <c r="S16" i="7"/>
  <c r="S15" i="7"/>
  <c r="R16" i="7"/>
  <c r="R15" i="7"/>
  <c r="G99" i="1"/>
  <c r="T16" i="7"/>
  <c r="D39" i="3"/>
  <c r="E41" i="3" l="1"/>
  <c r="E39" i="3"/>
  <c r="E37" i="3"/>
  <c r="G115" i="1"/>
  <c r="G114" i="1"/>
  <c r="G113" i="1"/>
  <c r="G111" i="1"/>
  <c r="G110" i="1"/>
  <c r="G109" i="1"/>
  <c r="E108" i="1"/>
  <c r="G108" i="1" l="1"/>
  <c r="N3" i="7"/>
  <c r="L3" i="7" l="1"/>
  <c r="D55" i="5" l="1"/>
  <c r="D22" i="5"/>
  <c r="E22" i="5" s="1"/>
  <c r="D4" i="3"/>
  <c r="C4" i="3"/>
  <c r="E5" i="3"/>
  <c r="D24" i="5" l="1"/>
  <c r="E36" i="3"/>
  <c r="D38" i="3"/>
  <c r="E38" i="3" s="1"/>
  <c r="E32" i="3" l="1"/>
  <c r="E33" i="3"/>
  <c r="E17" i="5" l="1"/>
  <c r="D16" i="5"/>
  <c r="D18" i="5" s="1"/>
  <c r="D9" i="5"/>
  <c r="E8" i="5"/>
  <c r="E6" i="5"/>
  <c r="E4" i="5"/>
  <c r="D12" i="5" l="1"/>
  <c r="D50" i="5" s="1"/>
  <c r="E16" i="5"/>
  <c r="D10" i="5"/>
  <c r="D11" i="3"/>
  <c r="D14" i="5" l="1"/>
  <c r="E12" i="5"/>
  <c r="E50" i="5" s="1"/>
  <c r="D28" i="3"/>
  <c r="E22" i="3"/>
  <c r="E19" i="3"/>
  <c r="E21" i="3"/>
  <c r="D24" i="3"/>
  <c r="E24" i="3" s="1"/>
  <c r="E26" i="3" l="1"/>
  <c r="E29" i="3"/>
  <c r="E28" i="3"/>
  <c r="E6" i="3"/>
  <c r="E4" i="3"/>
  <c r="E9" i="3" l="1"/>
  <c r="E8" i="3"/>
  <c r="E7" i="3"/>
  <c r="E34" i="3"/>
  <c r="D31" i="3"/>
  <c r="D35" i="3" s="1"/>
  <c r="D40" i="3" s="1"/>
  <c r="D43" i="3" s="1"/>
  <c r="D46" i="3" s="1"/>
  <c r="D49" i="3" s="1"/>
  <c r="D30" i="3"/>
  <c r="D27" i="3"/>
  <c r="E27" i="3" s="1"/>
  <c r="E20" i="3"/>
  <c r="E23" i="3"/>
  <c r="D25" i="3"/>
  <c r="E25" i="3" s="1"/>
  <c r="E17" i="3"/>
  <c r="E18" i="3"/>
  <c r="E15" i="3"/>
  <c r="E16" i="3"/>
  <c r="E14" i="3"/>
  <c r="E13" i="3"/>
  <c r="E12" i="3"/>
  <c r="E11" i="3"/>
  <c r="E10" i="3"/>
  <c r="E3" i="3"/>
  <c r="E2" i="3"/>
  <c r="E30" i="3" l="1"/>
  <c r="D54" i="3"/>
  <c r="D57" i="3" s="1"/>
  <c r="D60" i="3" s="1"/>
  <c r="D63" i="3" s="1"/>
  <c r="D66" i="3" s="1"/>
  <c r="D69" i="3" s="1"/>
  <c r="D72" i="3" s="1"/>
  <c r="D75" i="3" s="1"/>
  <c r="D79" i="3" s="1"/>
  <c r="D82" i="3" s="1"/>
  <c r="D86" i="3" s="1"/>
  <c r="E31" i="3"/>
  <c r="E35" i="3" s="1"/>
  <c r="E40" i="3" s="1"/>
  <c r="E43" i="3" s="1"/>
  <c r="E46" i="3" s="1"/>
  <c r="D89" i="3" l="1"/>
  <c r="D92" i="3" s="1"/>
  <c r="D95" i="3" s="1"/>
  <c r="X5" i="7"/>
  <c r="E49" i="3"/>
  <c r="G124" i="1"/>
  <c r="G123" i="1"/>
  <c r="G122" i="1"/>
  <c r="G121" i="1"/>
  <c r="G120" i="1"/>
  <c r="G119" i="1"/>
  <c r="G118" i="1"/>
  <c r="G117" i="1"/>
  <c r="G116" i="1"/>
  <c r="E164" i="1"/>
  <c r="E163" i="1"/>
  <c r="E162" i="1"/>
  <c r="E161" i="1"/>
  <c r="E160" i="1"/>
  <c r="E159" i="1"/>
  <c r="E158" i="1"/>
  <c r="E157" i="1"/>
  <c r="E156" i="1"/>
  <c r="E155" i="1"/>
  <c r="E54" i="3" l="1"/>
  <c r="E57" i="3" s="1"/>
  <c r="E60" i="3" s="1"/>
  <c r="Z5" i="7"/>
  <c r="X10" i="7"/>
  <c r="E169" i="1"/>
  <c r="E168" i="1"/>
  <c r="E167" i="1"/>
  <c r="E166" i="1"/>
  <c r="G175" i="1"/>
  <c r="G174" i="1"/>
  <c r="G173" i="1"/>
  <c r="G172" i="1"/>
  <c r="G171" i="1"/>
  <c r="E63" i="3" l="1"/>
  <c r="E66" i="3" s="1"/>
  <c r="Z10" i="7"/>
  <c r="Z12" i="7" s="1"/>
  <c r="Z16" i="7" s="1"/>
  <c r="AB10" i="7"/>
  <c r="X12" i="7"/>
  <c r="X16" i="7" s="1"/>
  <c r="X15" i="7"/>
  <c r="G169" i="1"/>
  <c r="G168" i="1"/>
  <c r="G167" i="1"/>
  <c r="G166" i="1"/>
  <c r="G164" i="1"/>
  <c r="G163" i="1"/>
  <c r="G162" i="1"/>
  <c r="G161" i="1"/>
  <c r="G160" i="1"/>
  <c r="G159" i="1"/>
  <c r="G158" i="1"/>
  <c r="G157" i="1"/>
  <c r="G156" i="1"/>
  <c r="G155" i="1"/>
  <c r="G153" i="1"/>
  <c r="G152" i="1"/>
  <c r="G151" i="1"/>
  <c r="G149" i="1"/>
  <c r="G148" i="1"/>
  <c r="G147" i="1"/>
  <c r="G146" i="1"/>
  <c r="G145" i="1"/>
  <c r="G144" i="1"/>
  <c r="G143" i="1"/>
  <c r="G142" i="1"/>
  <c r="G141" i="1"/>
  <c r="G140" i="1"/>
  <c r="G139" i="1"/>
  <c r="G138" i="1"/>
  <c r="G137" i="1"/>
  <c r="G136" i="1"/>
  <c r="G135" i="1"/>
  <c r="G134" i="1"/>
  <c r="G132" i="1"/>
  <c r="G131" i="1"/>
  <c r="G130" i="1"/>
  <c r="G129" i="1"/>
  <c r="G128" i="1"/>
  <c r="G127" i="1"/>
  <c r="G126" i="1"/>
  <c r="H177" i="1" l="1"/>
  <c r="E69" i="3"/>
  <c r="Z15" i="7"/>
  <c r="AB15" i="7"/>
  <c r="AB12" i="7"/>
  <c r="AB16" i="7" s="1"/>
  <c r="E72" i="3" l="1"/>
  <c r="AK10" i="7" l="1"/>
  <c r="AL10" i="7" s="1"/>
  <c r="E75" i="3"/>
  <c r="E79" i="3" s="1"/>
  <c r="E82" i="3" l="1"/>
  <c r="E86" i="3" s="1"/>
  <c r="AL15" i="7"/>
  <c r="AL16" i="7"/>
  <c r="AK15" i="7"/>
  <c r="AK16" i="7"/>
  <c r="E89" i="3" l="1"/>
  <c r="E92" i="3" s="1"/>
  <c r="E95" i="3" s="1"/>
  <c r="D65"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SCHUMACHER Laurent</author>
  </authors>
  <commentList>
    <comment ref="B53" authorId="0" shapeId="0" xr:uid="{00000000-0006-0000-0100-000001000000}">
      <text>
        <r>
          <rPr>
            <b/>
            <sz val="9"/>
            <color indexed="81"/>
            <rFont val="Tahoma"/>
            <family val="2"/>
          </rPr>
          <t>Mandatory convertible notes</t>
        </r>
        <r>
          <rPr>
            <sz val="9"/>
            <color indexed="81"/>
            <rFont val="Tahoma"/>
            <family val="2"/>
          </rPr>
          <t xml:space="preserve">
On December 23, 2021, ArcelorMittal signed separate, privately negotiated exchange agreements with a limited number of holders of the MCNs redeeming $395 million in aggregate principal amount of MCNs at the minimum conversion ratio for an aggregate cash consideration of $1,196 million including a premium of $28 million. Following completion of the repurchases, $608 million aggregate principal amount of the MCNs remained outstanding as of December 31, 2021. See note 11.2 to the consolidated financial statements of the annual report 2021</t>
        </r>
      </text>
    </comment>
  </commentList>
</comments>
</file>

<file path=xl/sharedStrings.xml><?xml version="1.0" encoding="utf-8"?>
<sst xmlns="http://schemas.openxmlformats.org/spreadsheetml/2006/main" count="471" uniqueCount="419">
  <si>
    <t>ARCELORMITTAL - Share Buy Back (SBB) Monthly update (amounts are in Euros)</t>
  </si>
  <si>
    <t>Date</t>
  </si>
  <si>
    <t>Market</t>
  </si>
  <si>
    <t>Significant shareholder</t>
  </si>
  <si>
    <t># shares</t>
  </si>
  <si>
    <t>Price/share € (weekly average)</t>
  </si>
  <si>
    <t>Total €</t>
  </si>
  <si>
    <t>Average €</t>
  </si>
  <si>
    <t xml:space="preserve">26/30 September </t>
  </si>
  <si>
    <t>19/23 September</t>
  </si>
  <si>
    <t>12/16 September</t>
  </si>
  <si>
    <t>5/9 September</t>
  </si>
  <si>
    <t>29 Aug/2 Sept</t>
  </si>
  <si>
    <t>22/26 August</t>
  </si>
  <si>
    <t>15/19 August</t>
  </si>
  <si>
    <t>08/12 August</t>
  </si>
  <si>
    <t>01/05 August</t>
  </si>
  <si>
    <t>SBB $1b (Q2'22)</t>
  </si>
  <si>
    <t>6/8 June</t>
  </si>
  <si>
    <t>31 May/3 June</t>
  </si>
  <si>
    <t>23/27 May</t>
  </si>
  <si>
    <t>16/20 May</t>
  </si>
  <si>
    <t>09/13 May</t>
  </si>
  <si>
    <t>SBB $1b (split Q1/Q2'22)</t>
  </si>
  <si>
    <t>25/29 Apr</t>
  </si>
  <si>
    <t>18/22 Apr</t>
  </si>
  <si>
    <t>11/15 Apr</t>
  </si>
  <si>
    <t>04/08 Apr</t>
  </si>
  <si>
    <t>April 1</t>
  </si>
  <si>
    <t>28/31 Mar</t>
  </si>
  <si>
    <t>21/25 Mar</t>
  </si>
  <si>
    <t>14/18 Mar</t>
  </si>
  <si>
    <t>07/11 Mar</t>
  </si>
  <si>
    <t>28 Feb / 04 Mar</t>
  </si>
  <si>
    <t>21/25 Feb</t>
  </si>
  <si>
    <t>14/18 Feb</t>
  </si>
  <si>
    <t>SBB $1b (Q4'21 full)</t>
  </si>
  <si>
    <t>17/19 Nov</t>
  </si>
  <si>
    <t>22/26 Nov</t>
  </si>
  <si>
    <t>29 Nov/3 Dec</t>
  </si>
  <si>
    <t>3/10 Dec</t>
  </si>
  <si>
    <t>13/17 Dec</t>
  </si>
  <si>
    <t>20/24 Dec</t>
  </si>
  <si>
    <t>27/28 Dec</t>
  </si>
  <si>
    <t>SBB $2.2b (split Q3/Q4 2021)</t>
  </si>
  <si>
    <t>05 / 06 August</t>
  </si>
  <si>
    <t>09 / 13 August</t>
  </si>
  <si>
    <t>16 / 20 August</t>
  </si>
  <si>
    <t>23 / 27 August</t>
  </si>
  <si>
    <t>30 August / 03 Sept</t>
  </si>
  <si>
    <t>06 / 10 Sept.</t>
  </si>
  <si>
    <t>13 / 17 Sept.</t>
  </si>
  <si>
    <t>20 / 24 Sept.</t>
  </si>
  <si>
    <t>27 /01 Oct.</t>
  </si>
  <si>
    <t>04 / 08 Oct.</t>
  </si>
  <si>
    <t>11 / 15 Oct.</t>
  </si>
  <si>
    <t>18 / 22 Oct.</t>
  </si>
  <si>
    <t>25/29 Oct.</t>
  </si>
  <si>
    <t>02/05 Nov.</t>
  </si>
  <si>
    <t>08/12 Nov.</t>
  </si>
  <si>
    <t>15/16 Nov.</t>
  </si>
  <si>
    <t>SBB $750m (split Q2/Q3 2021)</t>
  </si>
  <si>
    <t>21/25 June</t>
  </si>
  <si>
    <t>28/02 July</t>
  </si>
  <si>
    <t>05 July</t>
  </si>
  <si>
    <t>SBB $570m (Q2'21 full)</t>
  </si>
  <si>
    <t>12 / 16 April</t>
  </si>
  <si>
    <t>19 / 23 April</t>
  </si>
  <si>
    <t>26 / 30 April</t>
  </si>
  <si>
    <t>03 / 07 May</t>
  </si>
  <si>
    <t>10 / 17 May</t>
  </si>
  <si>
    <t>17/21 May</t>
  </si>
  <si>
    <t>24 / 28 May</t>
  </si>
  <si>
    <t>31 /04 June</t>
  </si>
  <si>
    <t>07 / 11 June</t>
  </si>
  <si>
    <t>14 / 18 June</t>
  </si>
  <si>
    <t>SBB $650m (Q1'21 full)</t>
  </si>
  <si>
    <t>15 / 19 Feb.</t>
  </si>
  <si>
    <t>22 /26 Feb.</t>
  </si>
  <si>
    <t>01 / 03 March</t>
  </si>
  <si>
    <t>SBB $500m (Q3/Q4 2020)</t>
  </si>
  <si>
    <t>28 Sep / 02 Oct</t>
  </si>
  <si>
    <t>05 / 09 Oct</t>
  </si>
  <si>
    <t>12 / 16 Oct</t>
  </si>
  <si>
    <t>19 / 23 Oct</t>
  </si>
  <si>
    <t>26 / 30 Oct</t>
  </si>
  <si>
    <t>Total/average</t>
  </si>
  <si>
    <t>Notes:</t>
  </si>
  <si>
    <t>Date of transaction and not date of payment. There could be some timing on payables at the end of each month</t>
  </si>
  <si>
    <t>Link to ArcelorMittal SBB webpage:</t>
  </si>
  <si>
    <t>Share buyback program | ArcelorMittal</t>
  </si>
  <si>
    <t>SBB cash per quarter</t>
  </si>
  <si>
    <t>Periods</t>
  </si>
  <si>
    <t>M$/quarter</t>
  </si>
  <si>
    <t>Total M$/SBB</t>
  </si>
  <si>
    <t>SBB $500m (split Q3/Q4 2020)</t>
  </si>
  <si>
    <t>Q3'2020 CFS</t>
  </si>
  <si>
    <t>ER Q3'20</t>
  </si>
  <si>
    <t>Q4'2020 CFS</t>
  </si>
  <si>
    <t>ER Q4'20</t>
  </si>
  <si>
    <t>Q1'2021 CFS</t>
  </si>
  <si>
    <t>ER Q1'21</t>
  </si>
  <si>
    <t>Q2'2021 CFS</t>
  </si>
  <si>
    <t>ER Q2'21</t>
  </si>
  <si>
    <t>Total Q2'2021</t>
  </si>
  <si>
    <t>Q3'2021 CFS</t>
  </si>
  <si>
    <t>ER Q3'21</t>
  </si>
  <si>
    <t>Total Q3'2021</t>
  </si>
  <si>
    <t>Q4'2021 CFS</t>
  </si>
  <si>
    <t>SBB $1b (Q4 2021 full)</t>
  </si>
  <si>
    <t>Total Q4'2021</t>
  </si>
  <si>
    <t>ER Q4'21</t>
  </si>
  <si>
    <t>1st SBB $1b (Q1 2022 split Q1/Q2 2022)</t>
  </si>
  <si>
    <t>Q1'2022 CFS</t>
  </si>
  <si>
    <t>ER Q1'22</t>
  </si>
  <si>
    <t>1st SBB $1b (Q2 2022 split Q1/Q2 2022)</t>
  </si>
  <si>
    <t>Q2'2022 CFS</t>
  </si>
  <si>
    <t>ER Q2'22</t>
  </si>
  <si>
    <t>2nd SBB $1b (Q2 2022 full)</t>
  </si>
  <si>
    <t>Total Q2'2022</t>
  </si>
  <si>
    <t>Q3'2022 CFS</t>
  </si>
  <si>
    <t>Mandatory convertible notes (MCN), partial redeemption of Dec. 23, 2021</t>
  </si>
  <si>
    <t>Dividends paid to ArcelorMittal shareholders in 2021</t>
  </si>
  <si>
    <t>Annual report December 2021</t>
  </si>
  <si>
    <t>Number of shares (end of period)</t>
  </si>
  <si>
    <t>Shares 
issued</t>
  </si>
  <si>
    <t>Treasury
shares (TS)</t>
  </si>
  <si>
    <t>Shares 
outstanding</t>
  </si>
  <si>
    <t>December 2019</t>
  </si>
  <si>
    <t>Others</t>
  </si>
  <si>
    <t>March 2020</t>
  </si>
  <si>
    <t>Capital increase May 2020</t>
  </si>
  <si>
    <t>June 2020</t>
  </si>
  <si>
    <t>SBB $500m (Q3 2020 part)</t>
  </si>
  <si>
    <t>September 2020</t>
  </si>
  <si>
    <t>SBB $500m (Q4 2020 part)</t>
  </si>
  <si>
    <t>MCN partial reimbursments</t>
  </si>
  <si>
    <t>December 2020</t>
  </si>
  <si>
    <t>March 2021</t>
  </si>
  <si>
    <t>SBB $570m (Q2 2021 part)</t>
  </si>
  <si>
    <t>SBB $750m (Q2 2021 part)</t>
  </si>
  <si>
    <t>June 2021</t>
  </si>
  <si>
    <t>SBB $750m (Q3 2021 part)</t>
  </si>
  <si>
    <t>SBB $2.2b (Q3 2021 part)</t>
  </si>
  <si>
    <t>Cancellation 70m shares (August 4, 2021)</t>
  </si>
  <si>
    <t>Cancellation 50m shares (Sept. 22, 2021)</t>
  </si>
  <si>
    <t>September 2021</t>
  </si>
  <si>
    <t>SBB $2.2b (Q4 2021 part)</t>
  </si>
  <si>
    <t>December 2021</t>
  </si>
  <si>
    <t>Cancellation 45m shares (January 14, 2022)</t>
  </si>
  <si>
    <t>1st SBB 2022 $1b (Q1 2022 part)</t>
  </si>
  <si>
    <t>March 2022</t>
  </si>
  <si>
    <t>1st SBB 2022 $1b (Q2 2022 part)</t>
  </si>
  <si>
    <t>2nd SBB 2022 $1b (Q2 2022 full)</t>
  </si>
  <si>
    <t>Cancellation 60m shares (May 18, 2022)</t>
  </si>
  <si>
    <t xml:space="preserve">June 2022 </t>
  </si>
  <si>
    <t>Shareholding structure | ArcelorMittal</t>
  </si>
  <si>
    <t>Others relate to share based payments. Please refer to 20F (note 8.3) for details</t>
  </si>
  <si>
    <t>ArcelorMittal EPS analysis</t>
  </si>
  <si>
    <t>Q1 2020</t>
  </si>
  <si>
    <t>Q2 2020</t>
  </si>
  <si>
    <t>Half year 2020</t>
  </si>
  <si>
    <t>Q3 2020</t>
  </si>
  <si>
    <t>9M 
2020</t>
  </si>
  <si>
    <t>Q4 2020</t>
  </si>
  <si>
    <t>Full year 2020</t>
  </si>
  <si>
    <t>Q1 2021</t>
  </si>
  <si>
    <t>Q2 2021</t>
  </si>
  <si>
    <t>Half year 2021</t>
  </si>
  <si>
    <t>Q3 2021</t>
  </si>
  <si>
    <t>9 months
2021</t>
  </si>
  <si>
    <t>Q4 2021</t>
  </si>
  <si>
    <t>Full year 2021</t>
  </si>
  <si>
    <t>Q1 2022</t>
  </si>
  <si>
    <t>Q2 2022</t>
  </si>
  <si>
    <t>Half year 2022</t>
  </si>
  <si>
    <t>Q3 2022</t>
  </si>
  <si>
    <t>9 Months 2022</t>
  </si>
  <si>
    <t>Net result of the period (a)</t>
  </si>
  <si>
    <t>m$</t>
  </si>
  <si>
    <t>Share outstanding (issued less TS) - Op. balance</t>
  </si>
  <si>
    <t>million shares</t>
  </si>
  <si>
    <t>Equity offering in May 2020 (weighted average)</t>
  </si>
  <si>
    <t>Share buyback (weighted average per period)</t>
  </si>
  <si>
    <t>Weighted average share outstanding + MCN for the EPS basic (b)</t>
  </si>
  <si>
    <t>Dilutive effect of the share based payment (in vesting)</t>
  </si>
  <si>
    <t xml:space="preserve">Weighted average share outstanding + MCN for the diluted EPS (c) </t>
  </si>
  <si>
    <t>Basic EPS (a)/(b)</t>
  </si>
  <si>
    <t>$/share</t>
  </si>
  <si>
    <t>Formula derived</t>
  </si>
  <si>
    <t xml:space="preserve">Diluted EPS (a)/(c) </t>
  </si>
  <si>
    <t>EPS: refers to basic or diluted earnings/loss per share.</t>
  </si>
  <si>
    <t>3/7 October</t>
  </si>
  <si>
    <t>10/14 October</t>
  </si>
  <si>
    <t>17/21 October</t>
  </si>
  <si>
    <t>24/28 October</t>
  </si>
  <si>
    <t>Total 2H'2022</t>
  </si>
  <si>
    <t>Q4'2022 CFS</t>
  </si>
  <si>
    <t>ER Q3'22</t>
  </si>
  <si>
    <t>SBB 60m shares ongoing (2HY 2022)</t>
  </si>
  <si>
    <t>September 2022</t>
  </si>
  <si>
    <t>Q4 2022</t>
  </si>
  <si>
    <t>12 Months 2022</t>
  </si>
  <si>
    <t>31 Oct/ 4 Nov</t>
  </si>
  <si>
    <t>13/17 Feb</t>
  </si>
  <si>
    <t>20/24 Feb</t>
  </si>
  <si>
    <t>27 Feb/3 Mar</t>
  </si>
  <si>
    <t>6/10 Mar</t>
  </si>
  <si>
    <t>13/17 Mar</t>
  </si>
  <si>
    <t>ER Q4'22</t>
  </si>
  <si>
    <t>Q1 2023</t>
  </si>
  <si>
    <t>20/24 Mar</t>
  </si>
  <si>
    <t>27/31 Mar</t>
  </si>
  <si>
    <t>SBB 60 million shares 
(Q3'22-Q1'23)</t>
  </si>
  <si>
    <t>SBB 60m shares (finalized in Q1 2023)</t>
  </si>
  <si>
    <t>Q1'2023 CFS</t>
  </si>
  <si>
    <t>Total returns declared since Sep’20</t>
  </si>
  <si>
    <t>December 2022</t>
  </si>
  <si>
    <t>SBB 60m shares ongoing (Q3 2022 part)</t>
  </si>
  <si>
    <t>SBB 60m shares ongoing (Q4 2022 part)</t>
  </si>
  <si>
    <t>SBB 60m shares finalized (Q1 2023 part)</t>
  </si>
  <si>
    <t>Annual report December 2022</t>
  </si>
  <si>
    <t>Q2 2023</t>
  </si>
  <si>
    <t>Half year 2023</t>
  </si>
  <si>
    <t>8/12 May</t>
  </si>
  <si>
    <t>15/19 May</t>
  </si>
  <si>
    <t>22/26 May</t>
  </si>
  <si>
    <t>Q2'2023 CFS</t>
  </si>
  <si>
    <t>Cancellation 25m shares (April 28, 2023)</t>
  </si>
  <si>
    <t>Refer comment above</t>
  </si>
  <si>
    <t>SBB ongoing for 85m shares (Q2'2023 part)</t>
  </si>
  <si>
    <t>SBB 60m shares (finalized in Q1 2023, partially paid in Q2'2023)</t>
  </si>
  <si>
    <t>Total Q2'2023</t>
  </si>
  <si>
    <t>Dividends paid to ArcelorMittal shareholders in Jun 2022 ($0.38c per share)</t>
  </si>
  <si>
    <t>March 2023</t>
  </si>
  <si>
    <t>29 May/2 June</t>
  </si>
  <si>
    <t>SBB 85m shares ongoing (Q2 2023 part)</t>
  </si>
  <si>
    <t>Conversion of the mandatory convertible subordinates notes (MCN)</t>
  </si>
  <si>
    <t>Others (share based payments realisation)</t>
  </si>
  <si>
    <t>* MCN equivalent shares outstanding adjusted of latest conversion price due to AM shareholders</t>
  </si>
  <si>
    <t>Mandatorily Convertible Notes (MCN*)</t>
  </si>
  <si>
    <t>Source/Comments</t>
  </si>
  <si>
    <t>ER Q1'23: "$477m related to ArcelorMittal share buybacks (19.1 million shares for a total value of $555m of which $78m settled early April 2023)"</t>
  </si>
  <si>
    <t>ER Q2'23</t>
  </si>
  <si>
    <t>June 2023</t>
  </si>
  <si>
    <t>Q3 2023</t>
  </si>
  <si>
    <t>9 Months 2023</t>
  </si>
  <si>
    <t>Q3'2023 CFS</t>
  </si>
  <si>
    <t>SBB ongoing for 85m shares (Q3'2023 part)</t>
  </si>
  <si>
    <t>SBB 85m shares ongoing (Q3 2023 part)</t>
  </si>
  <si>
    <t>September 2023</t>
  </si>
  <si>
    <t>07/11 Aug</t>
  </si>
  <si>
    <t>31 Jul/4 Aug</t>
  </si>
  <si>
    <t>14/18 Aug</t>
  </si>
  <si>
    <t>13/17 Nov</t>
  </si>
  <si>
    <t>20/24 Nov</t>
  </si>
  <si>
    <t>Total 2H'2023</t>
  </si>
  <si>
    <t>11/15 Dec</t>
  </si>
  <si>
    <t xml:space="preserve">Q4'2023 CFS </t>
  </si>
  <si>
    <t>ER Q3'23</t>
  </si>
  <si>
    <t>SBB 85m shares ongoing (Q4 2023 part)</t>
  </si>
  <si>
    <t>December 2023</t>
  </si>
  <si>
    <t>Q4 2023</t>
  </si>
  <si>
    <t>12 Months 2023</t>
  </si>
  <si>
    <t>27 Nov/01 Dec</t>
  </si>
  <si>
    <t>04/08 Dec</t>
  </si>
  <si>
    <t>SBB ongoing for 85m shares (Q4'2023 part)</t>
  </si>
  <si>
    <t>08/12 Jan</t>
  </si>
  <si>
    <t>15/19 Jan</t>
  </si>
  <si>
    <t>22/26 Jan</t>
  </si>
  <si>
    <t>ER Q4'23</t>
  </si>
  <si>
    <t xml:space="preserve">Q1'2024 CFS </t>
  </si>
  <si>
    <t>05/09 Feb</t>
  </si>
  <si>
    <t>12/16 Feb</t>
  </si>
  <si>
    <t>19/23 Feb</t>
  </si>
  <si>
    <t>04/08 Mar</t>
  </si>
  <si>
    <t>11/15 Mar</t>
  </si>
  <si>
    <t>18/22 Mar</t>
  </si>
  <si>
    <t>March 2024</t>
  </si>
  <si>
    <t>Q1 2024</t>
  </si>
  <si>
    <t>25/28 Mar</t>
  </si>
  <si>
    <t>02/05 Jan</t>
  </si>
  <si>
    <t>SBB ongoing for 85m shares (Q1'2024 part)</t>
  </si>
  <si>
    <t>Dividends paid to ArcelorMittal shareholders in Jun 2023</t>
  </si>
  <si>
    <t>Dividends paid to ArcelorMittal shareholders in Dec 2023</t>
  </si>
  <si>
    <t>Annual report December 2023: "On May 2, 2023 at the annual general meeting of shareholders, the shareholders approved the Company’s dividend of $0.44/sh. The dividend amounted to $369m and payment includes two installments; the 1st installment of $185m was paid on June 15, 2023 and the second one of $184m was settled on December 7, 2023."</t>
  </si>
  <si>
    <t>26 Feb/01 Mar</t>
  </si>
  <si>
    <t>29 Jan/02 Feb</t>
  </si>
  <si>
    <t>SBB 85m shares ongoing (Q1 2024 part)</t>
  </si>
  <si>
    <t>13/17 May</t>
  </si>
  <si>
    <t>20/24 May</t>
  </si>
  <si>
    <t>27/31 May</t>
  </si>
  <si>
    <t xml:space="preserve">Q2'2024 CFS </t>
  </si>
  <si>
    <t>SBB 85m shares ongoing (Q2 2024 part)</t>
  </si>
  <si>
    <t>Q2 2024</t>
  </si>
  <si>
    <t>06/10 May</t>
  </si>
  <si>
    <t>ER Q1'24</t>
  </si>
  <si>
    <t>Half year
2024</t>
  </si>
  <si>
    <t>SBB ongoing for 85m shares (Q2'2024 part)</t>
  </si>
  <si>
    <t>03/07 June</t>
  </si>
  <si>
    <t>10/14 June</t>
  </si>
  <si>
    <t>17/21 June</t>
  </si>
  <si>
    <t>24/27 June</t>
  </si>
  <si>
    <t>Dividends paid to ArcelorMittal shareholders in June 2024</t>
  </si>
  <si>
    <t>ER Q1'24: The $0.50/sh base dividend for 2023 will be paid in 2 equal installments in June 2024 and December 2024</t>
  </si>
  <si>
    <t>June 2024</t>
  </si>
  <si>
    <t>01/05 Jul</t>
  </si>
  <si>
    <t>08/12 Jul</t>
  </si>
  <si>
    <t>15/19 Jul</t>
  </si>
  <si>
    <t>22/24 Jul</t>
  </si>
  <si>
    <t>05/09 Aug</t>
  </si>
  <si>
    <t>12/16 Aug</t>
  </si>
  <si>
    <t>19/21 Aug</t>
  </si>
  <si>
    <t xml:space="preserve">Q3'2024 CFS </t>
  </si>
  <si>
    <t>ER Q2'24</t>
  </si>
  <si>
    <t>SBB 85m shares ongoing (Q3 2024 part)</t>
  </si>
  <si>
    <t>Q3 2024</t>
  </si>
  <si>
    <t>04/06 Sep</t>
  </si>
  <si>
    <t>10/12 Sep</t>
  </si>
  <si>
    <t>SBB ongoing for 85m shares (Q3'2024 part)</t>
  </si>
  <si>
    <t>Sep 2024</t>
  </si>
  <si>
    <t>25/29 Nov</t>
  </si>
  <si>
    <t>SBB ongoing for 85m shares (Q4'2024 part)</t>
  </si>
  <si>
    <t>Dividends paid to ArcelorMittal shareholders in December 2024</t>
  </si>
  <si>
    <t>Dec 2024</t>
  </si>
  <si>
    <t>SBB 85m shares ongoing (Q4 2024 part)</t>
  </si>
  <si>
    <t>ER Q3'24</t>
  </si>
  <si>
    <t>2/6 Dec</t>
  </si>
  <si>
    <t>9/13 Dec</t>
  </si>
  <si>
    <t>16/20 Dec</t>
  </si>
  <si>
    <t>18/22 Nov</t>
  </si>
  <si>
    <t>Q4'2024 CFS</t>
  </si>
  <si>
    <t>Q4 2024</t>
  </si>
  <si>
    <t>12 months 2024</t>
  </si>
  <si>
    <t>03/04 Mar</t>
  </si>
  <si>
    <t>Total 2024</t>
  </si>
  <si>
    <t>SBB ongoing for 85m shares (Q1'2025 part)</t>
  </si>
  <si>
    <t>Q1'2025 CFS</t>
  </si>
  <si>
    <t>SBB 85m shares ongoing (Q1 2025 part)</t>
  </si>
  <si>
    <t>March 2025</t>
  </si>
  <si>
    <t>Q1 2025</t>
  </si>
  <si>
    <t>Q2 2025</t>
  </si>
  <si>
    <t>Q3 2025</t>
  </si>
  <si>
    <t>Half year
2025</t>
  </si>
  <si>
    <t>ER Q4'24</t>
  </si>
  <si>
    <t>17/21 Mar</t>
  </si>
  <si>
    <t>10/14 Mar</t>
  </si>
  <si>
    <t>07/09 Apr</t>
  </si>
  <si>
    <t>Q2'2025 CFS</t>
  </si>
  <si>
    <t>SBB 85m shares (finalized in Q2'2025)</t>
  </si>
  <si>
    <t>SBB 85m shares finalised (Q2 2025 part)</t>
  </si>
  <si>
    <t>SBB 10m shares ongoing (Q2 2025 part)</t>
  </si>
  <si>
    <t>31Mar/01 Apr</t>
  </si>
  <si>
    <t>$0.2b total AM shares repurchased in the SBB 85m shares, of which:
- $0.1b paid during the month of March (as per ER Q1'25) and 
- $0.1b balance payable as of March 31st (paid early April)</t>
  </si>
  <si>
    <t>June 2025</t>
  </si>
  <si>
    <t>SBB ongoing for 10m shares (Q2'25)</t>
  </si>
  <si>
    <t>19/23 May</t>
  </si>
  <si>
    <t>2/6 June</t>
  </si>
  <si>
    <t>09/13 June</t>
  </si>
  <si>
    <t>16/20 June</t>
  </si>
  <si>
    <t>SBB 85 million shares 
(Q2'23-Q2'25)</t>
  </si>
  <si>
    <t>ER Q2'25 (total $168m)</t>
  </si>
  <si>
    <t>finalization of the 85m SBB of which $0.1b balance payable as of March 31st (paid early April) and the additional shares purchased on April 1st</t>
  </si>
  <si>
    <t>September 2025</t>
  </si>
  <si>
    <t>No SBB during Q3 2025</t>
  </si>
  <si>
    <t>9 Months 2025</t>
  </si>
  <si>
    <t>12 Months 2025</t>
  </si>
  <si>
    <t>Cancellation 77.8m shares (Nov 20 2025)</t>
  </si>
  <si>
    <t>Dividends paid to ArcelorMittal shareholders in Dec 2025 (2nd Tranche)</t>
  </si>
  <si>
    <t>Dividends paid to ArcelorMittal shareholders in June 2025 (1st Tranche)</t>
  </si>
  <si>
    <t>No SBB during Q4 2025</t>
  </si>
  <si>
    <t>December 2025</t>
  </si>
  <si>
    <t>Q1 2026</t>
  </si>
  <si>
    <t>Q2 2026</t>
  </si>
  <si>
    <t>Half year
2026</t>
  </si>
  <si>
    <t>Q3 2026</t>
  </si>
  <si>
    <t>9 Months 2026</t>
  </si>
  <si>
    <t>Q4'26</t>
  </si>
  <si>
    <t>12 Months 2026</t>
  </si>
  <si>
    <t>ER Q1'25: The $0.55/sh base dividend for 2024 will be paid in 2 equal installments in June 2025 and December 2025</t>
  </si>
  <si>
    <t>ER Q4'25: The 2026 dividend is $0.60 per share. The dividend payments would occur on a quarterly basis (to be paid in equal installments in
March, June, September and December) taking into account that the first quarter dividend payment to be paid in March 2026 shall be an interim dividend</t>
  </si>
  <si>
    <t>No SBB during Q1 2026</t>
  </si>
  <si>
    <t>March 2026</t>
  </si>
  <si>
    <t>Dividends paid to ArcelorMittal shareholders in March 2026 (1st Tranche)</t>
  </si>
  <si>
    <t>SBB 10m shares ongoing</t>
  </si>
  <si>
    <t>https://corporate.arcelormittal.com/media/news/regulatory-news/arcelormittal-cancels-77-809-772-treasury-shares</t>
  </si>
  <si>
    <t>Q4'2025</t>
  </si>
  <si>
    <t>04/08 May</t>
  </si>
  <si>
    <t>11/15 May</t>
  </si>
  <si>
    <t>18/22 May</t>
  </si>
  <si>
    <t>Total SBB 2020/2026</t>
  </si>
  <si>
    <t>Dividends paid to ArcelorMittal shareholders in June 2026 (2nd Tranche)</t>
  </si>
  <si>
    <t>08/12 June</t>
  </si>
  <si>
    <t>15/19 June</t>
  </si>
  <si>
    <t>22/26 June</t>
  </si>
  <si>
    <t>June 2026</t>
  </si>
  <si>
    <t>Q2'2026 CFS</t>
  </si>
  <si>
    <t>SBB 10m shares (finalized in Q2'26) - Tranche 1</t>
  </si>
  <si>
    <t>Q3'2026 CFS</t>
  </si>
  <si>
    <t xml:space="preserve">SBB 10m shares finalised - Tranche 1 (Q2 2026 part) </t>
  </si>
  <si>
    <t>Dividends paid to ArcelorMittal shareholders in Sep 2026 (3rd Tranche)</t>
  </si>
  <si>
    <t>$0.5b total AM shares repurchased in the SBB 10m shares, of which:
- approx. $483m paid during the months of May &amp; June, and 
- approx. $27m balance payable as of June 30th (paid early July)</t>
  </si>
  <si>
    <t>14/18 Sep</t>
  </si>
  <si>
    <t>21/25 Sep</t>
  </si>
  <si>
    <t xml:space="preserve">SBB 10m shares (Q3'26) - Tranche 2 </t>
  </si>
  <si>
    <t>~ -$15.5 billion</t>
  </si>
  <si>
    <t>September 2026</t>
  </si>
  <si>
    <t>07/11 Sep</t>
  </si>
  <si>
    <t>03/07 Aug</t>
  </si>
  <si>
    <t>10/14 Aug</t>
  </si>
  <si>
    <t>17/21 Aug</t>
  </si>
  <si>
    <t>31 Aug./4 Sept.</t>
  </si>
  <si>
    <t>24-28 Aug</t>
  </si>
  <si>
    <t>28/30 Sep</t>
  </si>
  <si>
    <t>Estim.</t>
  </si>
  <si>
    <t>unaudited 
$250 million for Q3'26 + $27 million from Q2'26 paid in July</t>
  </si>
  <si>
    <t>SBB 10m shares - Tranches 1 &amp; 2 (Q3 2026 part)</t>
  </si>
  <si>
    <t>SBB 10 million shares 
(Q2'25 -Q2'26) 
Tranche 1</t>
  </si>
  <si>
    <t>SBB 10 million shares 
(Q3'26) 
Tranche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</si>
</sst>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_(* \(#,##0\);_(* &quot;-&quot;_);_(@_)"/>
    <numFmt numFmtId="43" formatCode="_(* #,##0.00_);_(* \(#,##0.00\);_(* &quot;-&quot;??_);_(@_)"/>
    <numFmt numFmtId="164" formatCode="_-* #,##0.00_-;\-* #,##0.00_-;_-* &quot;-&quot;??_-;_-@_-"/>
    <numFmt numFmtId="165" formatCode="_-* #,##0_-;\-* #,##0_-;_-* &quot;-&quot;??_-;_-@_-"/>
    <numFmt numFmtId="166" formatCode="_-* #,##0.000_-;\-* #,##0.000_-;_-* &quot;-&quot;??_-;_-@_-"/>
    <numFmt numFmtId="167" formatCode="_(* #,##0_);_(* \(#,##0\);_(* &quot;-&quot;??_);_(@_)"/>
    <numFmt numFmtId="168" formatCode="_(* #,##0.0_);_(* \(#,##0.0\);_(* &quot;-&quot;??_);_(@_)"/>
    <numFmt numFmtId="169" formatCode="0.000"/>
    <numFmt numFmtId="170" formatCode="0.0%"/>
    <numFmt numFmtId="171" formatCode="_-* #,##0.00\ _€_-;\-* #,##0.00\ _€_-;_-* &quot;-&quot;??\ _€_-;_-@_-"/>
    <numFmt numFmtId="172" formatCode="_-* #,##0\ _€_-;\-* #,##0\ _€_-;_-* &quot;-&quot;??\ _€_-;_-@_-"/>
  </numFmts>
  <fonts count="59" x14ac:knownFonts="1">
    <font>
      <sz val="11"/>
      <color theme="1"/>
      <name val="Calibri"/>
      <family val="2"/>
      <scheme val="minor"/>
    </font>
    <font>
      <sz val="11"/>
      <color theme="1"/>
      <name val="Calibri"/>
      <family val="2"/>
      <scheme val="minor"/>
    </font>
    <font>
      <sz val="13"/>
      <color rgb="FF2A2A2A"/>
      <name val="Arial"/>
      <family val="2"/>
    </font>
    <font>
      <u/>
      <sz val="11"/>
      <color theme="10"/>
      <name val="Calibri"/>
      <family val="2"/>
      <scheme val="minor"/>
    </font>
    <font>
      <sz val="9"/>
      <color indexed="81"/>
      <name val="Tahoma"/>
      <family val="2"/>
    </font>
    <font>
      <b/>
      <sz val="9"/>
      <color indexed="81"/>
      <name val="Tahoma"/>
      <family val="2"/>
    </font>
    <font>
      <sz val="10"/>
      <color theme="1"/>
      <name val="Arial"/>
      <family val="2"/>
    </font>
    <font>
      <b/>
      <sz val="10"/>
      <color theme="1"/>
      <name val="Arial"/>
      <family val="2"/>
    </font>
    <font>
      <sz val="10"/>
      <name val="Arial"/>
      <family val="2"/>
    </font>
    <font>
      <sz val="10"/>
      <color rgb="FFFF0000"/>
      <name val="Arial"/>
      <family val="2"/>
    </font>
    <font>
      <b/>
      <sz val="11"/>
      <color rgb="FFFF0000"/>
      <name val="Arial"/>
      <family val="2"/>
    </font>
    <font>
      <sz val="11"/>
      <color theme="1"/>
      <name val="Arial"/>
      <family val="2"/>
    </font>
    <font>
      <b/>
      <sz val="11"/>
      <color theme="1"/>
      <name val="Arial"/>
      <family val="2"/>
    </font>
    <font>
      <sz val="11"/>
      <color rgb="FFFF0000"/>
      <name val="Arial"/>
      <family val="2"/>
    </font>
    <font>
      <u/>
      <sz val="11"/>
      <color theme="10"/>
      <name val="Arial"/>
      <family val="2"/>
    </font>
    <font>
      <u/>
      <sz val="11"/>
      <color theme="1"/>
      <name val="Arial"/>
      <family val="2"/>
    </font>
    <font>
      <sz val="11"/>
      <name val="Arial"/>
      <family val="2"/>
    </font>
    <font>
      <b/>
      <sz val="10"/>
      <color rgb="FFFF0000"/>
      <name val="Arial"/>
      <family val="2"/>
    </font>
    <font>
      <i/>
      <sz val="10"/>
      <color rgb="FFFF0000"/>
      <name val="Arial"/>
      <family val="2"/>
    </font>
    <font>
      <b/>
      <sz val="10"/>
      <name val="Arial"/>
      <family val="2"/>
    </font>
    <font>
      <i/>
      <sz val="11"/>
      <color rgb="FFFF0000"/>
      <name val="Arial"/>
      <family val="2"/>
    </font>
    <font>
      <sz val="8"/>
      <name val="Calibri"/>
      <family val="2"/>
      <scheme val="minor"/>
    </font>
    <font>
      <i/>
      <sz val="10"/>
      <color theme="1"/>
      <name val="Arial"/>
      <family val="2"/>
    </font>
    <font>
      <i/>
      <sz val="8"/>
      <color rgb="FFFF0000"/>
      <name val="Arial"/>
      <family val="2"/>
    </font>
    <font>
      <b/>
      <i/>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sz val="8"/>
      <color theme="1"/>
      <name val="Arial"/>
      <family val="2"/>
    </font>
    <font>
      <sz val="10"/>
      <name val="MS Sans Serif"/>
    </font>
    <font>
      <sz val="10"/>
      <color indexed="8"/>
      <name val="Arial"/>
      <family val="2"/>
    </font>
    <font>
      <sz val="8"/>
      <color theme="0"/>
      <name val="Arial"/>
      <family val="2"/>
    </font>
    <font>
      <sz val="11"/>
      <color theme="0"/>
      <name val="Arial"/>
      <family val="2"/>
    </font>
    <font>
      <sz val="11"/>
      <color rgb="FF9C0006"/>
      <name val="Arial"/>
      <family val="2"/>
    </font>
    <font>
      <b/>
      <sz val="11"/>
      <color rgb="FFFA7D00"/>
      <name val="Arial"/>
      <family val="2"/>
    </font>
    <font>
      <b/>
      <sz val="11"/>
      <color theme="0"/>
      <name val="Arial"/>
      <family val="2"/>
    </font>
    <font>
      <i/>
      <sz val="11"/>
      <color rgb="FF7F7F7F"/>
      <name val="Arial"/>
      <family val="2"/>
    </font>
    <font>
      <sz val="11"/>
      <color rgb="FF006100"/>
      <name val="Arial"/>
      <family val="2"/>
    </font>
    <font>
      <sz val="11"/>
      <color rgb="FF3F3F76"/>
      <name val="Arial"/>
      <family val="2"/>
    </font>
    <font>
      <sz val="11"/>
      <color rgb="FFFA7D00"/>
      <name val="Arial"/>
      <family val="2"/>
    </font>
    <font>
      <sz val="10"/>
      <color rgb="FF000000"/>
      <name val="Arial"/>
      <family val="2"/>
    </font>
    <font>
      <sz val="11"/>
      <color rgb="FF9C6500"/>
      <name val="Arial"/>
      <family val="2"/>
    </font>
    <font>
      <sz val="11"/>
      <color rgb="FF9C6500"/>
      <name val="Calibri"/>
      <family val="2"/>
      <scheme val="minor"/>
    </font>
    <font>
      <sz val="9"/>
      <color theme="1"/>
      <name val="Arial"/>
      <family val="2"/>
    </font>
    <font>
      <b/>
      <sz val="11"/>
      <color rgb="FF3F3F3F"/>
      <name val="Arial"/>
      <family val="2"/>
    </font>
    <font>
      <b/>
      <sz val="8"/>
      <color theme="1"/>
      <name val="Arial"/>
      <family val="2"/>
    </font>
  </fonts>
  <fills count="3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style="double">
        <color auto="1"/>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05">
    <xf numFmtId="0" fontId="0" fillId="0" borderId="0"/>
    <xf numFmtId="164"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39" fillId="0" borderId="0"/>
    <xf numFmtId="171" fontId="8" fillId="0" borderId="0" applyFont="0" applyFill="0" applyBorder="0" applyAlignment="0" applyProtection="0"/>
    <xf numFmtId="9" fontId="8" fillId="0" borderId="0" applyFont="0" applyFill="0" applyBorder="0" applyAlignment="0" applyProtection="0"/>
    <xf numFmtId="0" fontId="41" fillId="0"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5" borderId="0" applyNumberFormat="0" applyBorder="0" applyAlignment="0" applyProtection="0"/>
    <xf numFmtId="0" fontId="45" fillId="15" borderId="0" applyNumberFormat="0" applyBorder="0" applyAlignment="0" applyProtection="0"/>
    <xf numFmtId="0" fontId="45" fillId="19" borderId="0" applyNumberFormat="0" applyBorder="0" applyAlignment="0" applyProtection="0"/>
    <xf numFmtId="0" fontId="45" fillId="23" borderId="0" applyNumberFormat="0" applyBorder="0" applyAlignment="0" applyProtection="0"/>
    <xf numFmtId="0" fontId="45" fillId="27" borderId="0" applyNumberFormat="0" applyBorder="0" applyAlignment="0" applyProtection="0"/>
    <xf numFmtId="0" fontId="45" fillId="31" borderId="0" applyNumberFormat="0" applyBorder="0" applyAlignment="0" applyProtection="0"/>
    <xf numFmtId="0" fontId="45" fillId="35" borderId="0" applyNumberFormat="0" applyBorder="0" applyAlignment="0" applyProtection="0"/>
    <xf numFmtId="0" fontId="44" fillId="12" borderId="0" applyNumberFormat="0" applyBorder="0" applyAlignment="0" applyProtection="0"/>
    <xf numFmtId="0" fontId="38" fillId="12" borderId="0" applyNumberFormat="0" applyBorder="0" applyAlignment="0" applyProtection="0"/>
    <xf numFmtId="0" fontId="45" fillId="12" borderId="0" applyNumberFormat="0" applyBorder="0" applyAlignment="0" applyProtection="0"/>
    <xf numFmtId="0" fontId="44" fillId="16" borderId="0" applyNumberFormat="0" applyBorder="0" applyAlignment="0" applyProtection="0"/>
    <xf numFmtId="0" fontId="38" fillId="16" borderId="0" applyNumberFormat="0" applyBorder="0" applyAlignment="0" applyProtection="0"/>
    <xf numFmtId="0" fontId="45" fillId="16" borderId="0" applyNumberFormat="0" applyBorder="0" applyAlignment="0" applyProtection="0"/>
    <xf numFmtId="0" fontId="44" fillId="20" borderId="0" applyNumberFormat="0" applyBorder="0" applyAlignment="0" applyProtection="0"/>
    <xf numFmtId="0" fontId="38" fillId="20" borderId="0" applyNumberFormat="0" applyBorder="0" applyAlignment="0" applyProtection="0"/>
    <xf numFmtId="0" fontId="45" fillId="20" borderId="0" applyNumberFormat="0" applyBorder="0" applyAlignment="0" applyProtection="0"/>
    <xf numFmtId="0" fontId="44" fillId="24" borderId="0" applyNumberFormat="0" applyBorder="0" applyAlignment="0" applyProtection="0"/>
    <xf numFmtId="0" fontId="38" fillId="24" borderId="0" applyNumberFormat="0" applyBorder="0" applyAlignment="0" applyProtection="0"/>
    <xf numFmtId="0" fontId="45" fillId="24" borderId="0" applyNumberFormat="0" applyBorder="0" applyAlignment="0" applyProtection="0"/>
    <xf numFmtId="0" fontId="44" fillId="28" borderId="0" applyNumberFormat="0" applyBorder="0" applyAlignment="0" applyProtection="0"/>
    <xf numFmtId="0" fontId="38" fillId="28" borderId="0" applyNumberFormat="0" applyBorder="0" applyAlignment="0" applyProtection="0"/>
    <xf numFmtId="0" fontId="45" fillId="28" borderId="0" applyNumberFormat="0" applyBorder="0" applyAlignment="0" applyProtection="0"/>
    <xf numFmtId="0" fontId="44" fillId="32" borderId="0" applyNumberFormat="0" applyBorder="0" applyAlignment="0" applyProtection="0"/>
    <xf numFmtId="0" fontId="38" fillId="32" borderId="0" applyNumberFormat="0" applyBorder="0" applyAlignment="0" applyProtection="0"/>
    <xf numFmtId="0" fontId="45" fillId="32" borderId="0" applyNumberFormat="0" applyBorder="0" applyAlignment="0" applyProtection="0"/>
    <xf numFmtId="0" fontId="35" fillId="0" borderId="0" applyNumberFormat="0" applyFill="0" applyBorder="0" applyAlignment="0" applyProtection="0"/>
    <xf numFmtId="0" fontId="46" fillId="6" borderId="0" applyNumberFormat="0" applyBorder="0" applyAlignment="0" applyProtection="0"/>
    <xf numFmtId="0" fontId="32" fillId="9" borderId="21" applyNumberFormat="0" applyAlignment="0" applyProtection="0"/>
    <xf numFmtId="0" fontId="47" fillId="9" borderId="21" applyNumberFormat="0" applyAlignment="0" applyProtection="0"/>
    <xf numFmtId="0" fontId="33" fillId="0" borderId="23" applyNumberFormat="0" applyFill="0" applyAlignment="0" applyProtection="0"/>
    <xf numFmtId="0" fontId="48" fillId="10" borderId="24" applyNumberFormat="0" applyAlignment="0" applyProtection="0"/>
    <xf numFmtId="0" fontId="1" fillId="11" borderId="25" applyNumberFormat="0" applyFont="0" applyAlignment="0" applyProtection="0"/>
    <xf numFmtId="0" fontId="30" fillId="8" borderId="21" applyNumberFormat="0" applyAlignment="0" applyProtection="0"/>
    <xf numFmtId="0" fontId="49" fillId="0" borderId="0" applyNumberFormat="0" applyFill="0" applyBorder="0" applyAlignment="0" applyProtection="0"/>
    <xf numFmtId="0" fontId="50" fillId="5" borderId="0" applyNumberFormat="0" applyBorder="0" applyAlignment="0" applyProtection="0"/>
    <xf numFmtId="0" fontId="51" fillId="8" borderId="21" applyNumberFormat="0" applyAlignment="0" applyProtection="0"/>
    <xf numFmtId="0" fontId="29" fillId="6" borderId="0" applyNumberFormat="0" applyBorder="0" applyAlignment="0" applyProtection="0"/>
    <xf numFmtId="0" fontId="52" fillId="0" borderId="23" applyNumberFormat="0" applyFill="0" applyAlignment="0" applyProtection="0"/>
    <xf numFmtId="171" fontId="41" fillId="0" borderId="0" applyFont="0" applyFill="0" applyBorder="0" applyAlignment="0" applyProtection="0"/>
    <xf numFmtId="171" fontId="53" fillId="0" borderId="0" applyFont="0" applyFill="0" applyBorder="0" applyAlignment="0" applyProtection="0"/>
    <xf numFmtId="171" fontId="42" fillId="0" borderId="0" applyFont="0" applyFill="0" applyBorder="0" applyAlignment="0" applyProtection="0"/>
    <xf numFmtId="0" fontId="54" fillId="7" borderId="0" applyNumberFormat="0" applyBorder="0" applyAlignment="0" applyProtection="0"/>
    <xf numFmtId="0" fontId="55" fillId="7" borderId="0" applyNumberFormat="0" applyBorder="0" applyAlignment="0" applyProtection="0"/>
    <xf numFmtId="0" fontId="8" fillId="0" borderId="0"/>
    <xf numFmtId="0" fontId="1" fillId="0" borderId="0"/>
    <xf numFmtId="0" fontId="1" fillId="0" borderId="0"/>
    <xf numFmtId="0" fontId="43" fillId="0" borderId="0"/>
    <xf numFmtId="0" fontId="56" fillId="0" borderId="0"/>
    <xf numFmtId="0" fontId="11" fillId="0" borderId="0"/>
    <xf numFmtId="0" fontId="53" fillId="0" borderId="0"/>
    <xf numFmtId="0" fontId="41" fillId="0" borderId="0"/>
    <xf numFmtId="0" fontId="42" fillId="0" borderId="0"/>
    <xf numFmtId="0" fontId="11" fillId="11" borderId="25" applyNumberFormat="0" applyFont="0" applyAlignment="0" applyProtection="0"/>
    <xf numFmtId="0" fontId="57" fillId="9" borderId="22" applyNumberFormat="0" applyAlignment="0" applyProtection="0"/>
    <xf numFmtId="0" fontId="28" fillId="5" borderId="0" applyNumberFormat="0" applyBorder="0" applyAlignment="0" applyProtection="0"/>
    <xf numFmtId="0" fontId="31" fillId="9" borderId="22" applyNumberFormat="0" applyAlignment="0" applyProtection="0"/>
    <xf numFmtId="0" fontId="36" fillId="0" borderId="0" applyNumberFormat="0" applyFill="0" applyBorder="0" applyAlignment="0" applyProtection="0"/>
    <xf numFmtId="0" fontId="25" fillId="0" borderId="18" applyNumberFormat="0" applyFill="0" applyAlignment="0" applyProtection="0"/>
    <xf numFmtId="0" fontId="26" fillId="0" borderId="19" applyNumberFormat="0" applyFill="0" applyAlignment="0" applyProtection="0"/>
    <xf numFmtId="0" fontId="27" fillId="0" borderId="20" applyNumberFormat="0" applyFill="0" applyAlignment="0" applyProtection="0"/>
    <xf numFmtId="0" fontId="27" fillId="0" borderId="0" applyNumberFormat="0" applyFill="0" applyBorder="0" applyAlignment="0" applyProtection="0"/>
    <xf numFmtId="0" fontId="58" fillId="0" borderId="26" applyNumberFormat="0" applyFill="0" applyAlignment="0" applyProtection="0"/>
    <xf numFmtId="0" fontId="37" fillId="0" borderId="26" applyNumberFormat="0" applyFill="0" applyAlignment="0" applyProtection="0"/>
    <xf numFmtId="0" fontId="12" fillId="0" borderId="26" applyNumberFormat="0" applyFill="0" applyAlignment="0" applyProtection="0"/>
    <xf numFmtId="0" fontId="34" fillId="10" borderId="24" applyNumberFormat="0" applyAlignment="0" applyProtection="0"/>
    <xf numFmtId="0" fontId="13" fillId="0" borderId="0" applyNumberFormat="0" applyFill="0" applyBorder="0" applyAlignment="0" applyProtection="0"/>
  </cellStyleXfs>
  <cellXfs count="312">
    <xf numFmtId="0" fontId="0" fillId="0" borderId="0" xfId="0"/>
    <xf numFmtId="3" fontId="2" fillId="0" borderId="0" xfId="0" applyNumberFormat="1" applyFont="1"/>
    <xf numFmtId="0" fontId="6" fillId="0" borderId="0" xfId="0" applyFont="1" applyAlignment="1">
      <alignment vertical="center" wrapText="1"/>
    </xf>
    <xf numFmtId="0" fontId="6" fillId="0" borderId="0" xfId="0" applyFont="1" applyAlignment="1">
      <alignment horizontal="right" vertical="center" wrapText="1"/>
    </xf>
    <xf numFmtId="0" fontId="6" fillId="0" borderId="0" xfId="0" applyFont="1"/>
    <xf numFmtId="167" fontId="6" fillId="2" borderId="0" xfId="3" applyNumberFormat="1" applyFont="1" applyFill="1" applyBorder="1"/>
    <xf numFmtId="0" fontId="6" fillId="0" borderId="0" xfId="0" applyFont="1" applyAlignment="1">
      <alignment horizontal="right"/>
    </xf>
    <xf numFmtId="167" fontId="6" fillId="0" borderId="0" xfId="3" applyNumberFormat="1" applyFont="1" applyFill="1" applyBorder="1"/>
    <xf numFmtId="167" fontId="6" fillId="2" borderId="6" xfId="3" applyNumberFormat="1" applyFont="1" applyFill="1" applyBorder="1"/>
    <xf numFmtId="167" fontId="6" fillId="2" borderId="5" xfId="3" applyNumberFormat="1" applyFont="1" applyFill="1" applyBorder="1"/>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0" xfId="0" applyFont="1"/>
    <xf numFmtId="0" fontId="6" fillId="0" borderId="0" xfId="0" applyFont="1" applyAlignment="1">
      <alignment vertical="center"/>
    </xf>
    <xf numFmtId="167" fontId="6" fillId="2" borderId="6" xfId="3" applyNumberFormat="1" applyFont="1" applyFill="1" applyBorder="1" applyAlignment="1">
      <alignment vertical="center"/>
    </xf>
    <xf numFmtId="167" fontId="6" fillId="2" borderId="0" xfId="3" applyNumberFormat="1" applyFont="1" applyFill="1" applyBorder="1" applyAlignment="1">
      <alignment vertical="center"/>
    </xf>
    <xf numFmtId="167" fontId="6" fillId="0" borderId="0" xfId="3" applyNumberFormat="1" applyFont="1" applyFill="1" applyBorder="1" applyAlignment="1">
      <alignment vertical="center"/>
    </xf>
    <xf numFmtId="167" fontId="6" fillId="0" borderId="5" xfId="3" applyNumberFormat="1" applyFont="1" applyFill="1" applyBorder="1" applyAlignment="1">
      <alignment vertical="center"/>
    </xf>
    <xf numFmtId="167" fontId="6" fillId="0" borderId="6" xfId="3" applyNumberFormat="1" applyFont="1" applyFill="1" applyBorder="1" applyAlignment="1">
      <alignment vertical="center"/>
    </xf>
    <xf numFmtId="0" fontId="6" fillId="0" borderId="0" xfId="0" applyFont="1" applyAlignment="1">
      <alignment horizontal="right" vertical="center"/>
    </xf>
    <xf numFmtId="167" fontId="7" fillId="2" borderId="12" xfId="3" applyNumberFormat="1" applyFont="1" applyFill="1" applyBorder="1" applyAlignment="1">
      <alignment vertical="center"/>
    </xf>
    <xf numFmtId="167" fontId="7" fillId="2" borderId="11" xfId="3" applyNumberFormat="1" applyFont="1" applyFill="1" applyBorder="1" applyAlignment="1">
      <alignment vertical="center"/>
    </xf>
    <xf numFmtId="167" fontId="7" fillId="0" borderId="11" xfId="3" applyNumberFormat="1" applyFont="1" applyFill="1" applyBorder="1" applyAlignment="1">
      <alignment vertical="center"/>
    </xf>
    <xf numFmtId="167" fontId="7" fillId="0" borderId="13" xfId="3" applyNumberFormat="1" applyFont="1" applyFill="1" applyBorder="1" applyAlignment="1">
      <alignment vertical="center"/>
    </xf>
    <xf numFmtId="167" fontId="7" fillId="0" borderId="12" xfId="3" applyNumberFormat="1" applyFont="1" applyFill="1" applyBorder="1" applyAlignment="1">
      <alignment vertical="center"/>
    </xf>
    <xf numFmtId="0" fontId="7" fillId="0" borderId="11" xfId="0" applyFont="1" applyBorder="1" applyAlignment="1">
      <alignment vertical="center" wrapText="1"/>
    </xf>
    <xf numFmtId="0" fontId="7" fillId="0" borderId="14" xfId="0" applyFont="1" applyBorder="1" applyAlignment="1">
      <alignment vertical="center" wrapText="1"/>
    </xf>
    <xf numFmtId="0" fontId="10" fillId="0" borderId="1" xfId="0" applyFont="1" applyBorder="1"/>
    <xf numFmtId="0" fontId="11" fillId="0" borderId="1" xfId="0" applyFont="1" applyBorder="1" applyAlignment="1">
      <alignment horizontal="right" wrapText="1"/>
    </xf>
    <xf numFmtId="0" fontId="11" fillId="0" borderId="0" xfId="0" applyFont="1"/>
    <xf numFmtId="17" fontId="12" fillId="3" borderId="0" xfId="0" quotePrefix="1" applyNumberFormat="1" applyFont="1" applyFill="1"/>
    <xf numFmtId="167" fontId="12" fillId="3" borderId="0" xfId="3" applyNumberFormat="1" applyFont="1" applyFill="1"/>
    <xf numFmtId="167" fontId="11" fillId="0" borderId="0" xfId="3" applyNumberFormat="1" applyFont="1"/>
    <xf numFmtId="167" fontId="11" fillId="2" borderId="1" xfId="3" applyNumberFormat="1" applyFont="1" applyFill="1" applyBorder="1"/>
    <xf numFmtId="167" fontId="11" fillId="2" borderId="0" xfId="3" applyNumberFormat="1" applyFont="1" applyFill="1"/>
    <xf numFmtId="167" fontId="11" fillId="0" borderId="1" xfId="3" applyNumberFormat="1" applyFont="1" applyBorder="1"/>
    <xf numFmtId="41" fontId="11" fillId="2" borderId="0" xfId="3" applyNumberFormat="1" applyFont="1" applyFill="1"/>
    <xf numFmtId="41" fontId="11" fillId="2" borderId="0" xfId="0" applyNumberFormat="1" applyFont="1" applyFill="1"/>
    <xf numFmtId="41" fontId="11" fillId="2" borderId="1" xfId="3" applyNumberFormat="1" applyFont="1" applyFill="1" applyBorder="1"/>
    <xf numFmtId="0" fontId="11" fillId="2" borderId="0" xfId="0" applyFont="1" applyFill="1"/>
    <xf numFmtId="17" fontId="11" fillId="2" borderId="0" xfId="0" quotePrefix="1" applyNumberFormat="1" applyFont="1" applyFill="1"/>
    <xf numFmtId="41" fontId="11" fillId="0" borderId="0" xfId="0" applyNumberFormat="1" applyFont="1"/>
    <xf numFmtId="17" fontId="11" fillId="0" borderId="0" xfId="0" quotePrefix="1" applyNumberFormat="1" applyFont="1"/>
    <xf numFmtId="0" fontId="13" fillId="0" borderId="0" xfId="0" applyFont="1"/>
    <xf numFmtId="167" fontId="11" fillId="0" borderId="1" xfId="3" applyNumberFormat="1" applyFont="1" applyBorder="1" applyAlignment="1">
      <alignment horizontal="right" indent="1"/>
    </xf>
    <xf numFmtId="0" fontId="14" fillId="0" borderId="0" xfId="2" applyFont="1"/>
    <xf numFmtId="167" fontId="11" fillId="0" borderId="0" xfId="0" applyNumberFormat="1" applyFont="1"/>
    <xf numFmtId="41" fontId="13" fillId="0" borderId="0" xfId="0" applyNumberFormat="1" applyFont="1"/>
    <xf numFmtId="0" fontId="15" fillId="0" borderId="0" xfId="0" applyFont="1"/>
    <xf numFmtId="0" fontId="16" fillId="0" borderId="0" xfId="0" applyFont="1"/>
    <xf numFmtId="0" fontId="12" fillId="0" borderId="0" xfId="0" applyFont="1" applyAlignment="1">
      <alignment horizontal="left"/>
    </xf>
    <xf numFmtId="0" fontId="11" fillId="0" borderId="0" xfId="0" applyFont="1" applyAlignment="1">
      <alignment horizontal="center"/>
    </xf>
    <xf numFmtId="0" fontId="11" fillId="2" borderId="0" xfId="0" applyFont="1" applyFill="1" applyAlignment="1">
      <alignment horizontal="center"/>
    </xf>
    <xf numFmtId="165" fontId="12" fillId="2" borderId="0" xfId="0" applyNumberFormat="1" applyFont="1" applyFill="1" applyAlignment="1">
      <alignment horizontal="center"/>
    </xf>
    <xf numFmtId="165" fontId="12" fillId="0" borderId="0" xfId="0" applyNumberFormat="1" applyFont="1" applyAlignment="1">
      <alignment horizontal="center"/>
    </xf>
    <xf numFmtId="0" fontId="11" fillId="0" borderId="0" xfId="0" applyFont="1" applyAlignment="1">
      <alignment wrapText="1"/>
    </xf>
    <xf numFmtId="0" fontId="12" fillId="2" borderId="1" xfId="0" applyFont="1" applyFill="1" applyBorder="1" applyAlignment="1">
      <alignment horizontal="right" wrapText="1"/>
    </xf>
    <xf numFmtId="0" fontId="12" fillId="0" borderId="0" xfId="0" applyFont="1" applyAlignment="1">
      <alignment horizontal="center" wrapText="1"/>
    </xf>
    <xf numFmtId="0" fontId="12" fillId="0" borderId="0" xfId="0" applyFont="1" applyAlignment="1">
      <alignment horizontal="center"/>
    </xf>
    <xf numFmtId="41" fontId="12" fillId="2" borderId="0" xfId="0" applyNumberFormat="1" applyFont="1" applyFill="1" applyAlignment="1">
      <alignment horizontal="center"/>
    </xf>
    <xf numFmtId="0" fontId="12" fillId="2" borderId="0" xfId="0" applyFont="1" applyFill="1" applyAlignment="1">
      <alignment horizontal="center"/>
    </xf>
    <xf numFmtId="41" fontId="11" fillId="2" borderId="0" xfId="0" applyNumberFormat="1" applyFont="1" applyFill="1" applyAlignment="1">
      <alignment horizontal="center"/>
    </xf>
    <xf numFmtId="165" fontId="11" fillId="2" borderId="0" xfId="1" applyNumberFormat="1" applyFont="1" applyFill="1" applyAlignment="1">
      <alignment horizontal="center"/>
    </xf>
    <xf numFmtId="165" fontId="13" fillId="0" borderId="0" xfId="0" applyNumberFormat="1" applyFont="1" applyAlignment="1">
      <alignment horizontal="left"/>
    </xf>
    <xf numFmtId="164" fontId="12" fillId="0" borderId="0" xfId="0" applyNumberFormat="1" applyFont="1" applyAlignment="1">
      <alignment horizontal="center"/>
    </xf>
    <xf numFmtId="165" fontId="11" fillId="2" borderId="1" xfId="1" applyNumberFormat="1" applyFont="1" applyFill="1" applyBorder="1" applyAlignment="1">
      <alignment horizontal="center"/>
    </xf>
    <xf numFmtId="0" fontId="11" fillId="0" borderId="0" xfId="0" applyFont="1" applyAlignment="1">
      <alignment horizontal="center" vertical="center" wrapText="1"/>
    </xf>
    <xf numFmtId="165" fontId="11" fillId="0" borderId="0" xfId="1" applyNumberFormat="1" applyFont="1" applyAlignment="1">
      <alignment horizontal="center"/>
    </xf>
    <xf numFmtId="16" fontId="11" fillId="0" borderId="0" xfId="0" applyNumberFormat="1" applyFont="1" applyAlignment="1">
      <alignment horizontal="center"/>
    </xf>
    <xf numFmtId="16" fontId="11" fillId="0" borderId="0" xfId="0" applyNumberFormat="1" applyFont="1" applyAlignment="1">
      <alignment horizontal="center" vertical="top"/>
    </xf>
    <xf numFmtId="41" fontId="11" fillId="2" borderId="0" xfId="0" applyNumberFormat="1" applyFont="1" applyFill="1" applyAlignment="1">
      <alignment horizontal="center" vertical="top"/>
    </xf>
    <xf numFmtId="165" fontId="11" fillId="2" borderId="0" xfId="1" applyNumberFormat="1" applyFont="1" applyFill="1" applyAlignment="1">
      <alignment horizontal="center" vertical="top"/>
    </xf>
    <xf numFmtId="41" fontId="11" fillId="2" borderId="0" xfId="1" applyNumberFormat="1" applyFont="1" applyFill="1" applyAlignment="1">
      <alignment horizontal="center"/>
    </xf>
    <xf numFmtId="165" fontId="11" fillId="2" borderId="14" xfId="1" applyNumberFormat="1" applyFont="1" applyFill="1" applyBorder="1" applyAlignment="1">
      <alignment horizontal="center"/>
    </xf>
    <xf numFmtId="166" fontId="11" fillId="0" borderId="0" xfId="1" applyNumberFormat="1" applyFont="1" applyAlignment="1">
      <alignment horizontal="center"/>
    </xf>
    <xf numFmtId="16" fontId="15" fillId="0" borderId="0" xfId="0" applyNumberFormat="1" applyFont="1" applyAlignment="1">
      <alignment horizontal="left"/>
    </xf>
    <xf numFmtId="16" fontId="11" fillId="2" borderId="0" xfId="0" applyNumberFormat="1" applyFont="1" applyFill="1" applyAlignment="1">
      <alignment horizontal="center"/>
    </xf>
    <xf numFmtId="16" fontId="11" fillId="0" borderId="0" xfId="0" applyNumberFormat="1" applyFont="1" applyAlignment="1">
      <alignment horizontal="left"/>
    </xf>
    <xf numFmtId="0" fontId="11" fillId="2" borderId="0" xfId="0" applyFont="1" applyFill="1" applyAlignment="1">
      <alignment horizontal="left"/>
    </xf>
    <xf numFmtId="0" fontId="17" fillId="0" borderId="1" xfId="0" applyFont="1" applyBorder="1"/>
    <xf numFmtId="0" fontId="6" fillId="0" borderId="1" xfId="0" applyFont="1" applyBorder="1"/>
    <xf numFmtId="0" fontId="6" fillId="0" borderId="1" xfId="0" applyFont="1" applyBorder="1" applyAlignment="1">
      <alignment horizontal="right"/>
    </xf>
    <xf numFmtId="167" fontId="6" fillId="0" borderId="0" xfId="3" applyNumberFormat="1" applyFont="1" applyFill="1"/>
    <xf numFmtId="167" fontId="6" fillId="0" borderId="1" xfId="3" applyNumberFormat="1" applyFont="1" applyFill="1" applyBorder="1"/>
    <xf numFmtId="0" fontId="7" fillId="0" borderId="0" xfId="0" applyFont="1"/>
    <xf numFmtId="167" fontId="7" fillId="0" borderId="0" xfId="3" applyNumberFormat="1" applyFont="1" applyFill="1"/>
    <xf numFmtId="167" fontId="6" fillId="0" borderId="0" xfId="0" applyNumberFormat="1" applyFont="1"/>
    <xf numFmtId="0" fontId="9" fillId="0" borderId="0" xfId="0" applyFont="1"/>
    <xf numFmtId="0" fontId="7" fillId="0" borderId="0" xfId="0" applyFont="1" applyAlignment="1">
      <alignment horizontal="right"/>
    </xf>
    <xf numFmtId="167" fontId="6" fillId="0" borderId="0" xfId="0" applyNumberFormat="1" applyFont="1" applyAlignment="1">
      <alignment vertical="center"/>
    </xf>
    <xf numFmtId="0" fontId="6" fillId="0" borderId="8" xfId="0" applyFont="1" applyBorder="1" applyAlignment="1">
      <alignment vertical="center"/>
    </xf>
    <xf numFmtId="43" fontId="6" fillId="0" borderId="9" xfId="1" applyNumberFormat="1" applyFont="1" applyBorder="1" applyAlignment="1">
      <alignment horizontal="right" vertical="center"/>
    </xf>
    <xf numFmtId="43" fontId="6" fillId="2" borderId="9" xfId="1" applyNumberFormat="1" applyFont="1" applyFill="1" applyBorder="1" applyAlignment="1">
      <alignment vertical="center"/>
    </xf>
    <xf numFmtId="43" fontId="6" fillId="0" borderId="9" xfId="1" applyNumberFormat="1" applyFont="1" applyFill="1" applyBorder="1" applyAlignment="1">
      <alignment vertical="center"/>
    </xf>
    <xf numFmtId="43" fontId="6" fillId="0" borderId="9" xfId="1" applyNumberFormat="1" applyFont="1" applyFill="1" applyBorder="1" applyAlignment="1">
      <alignment horizontal="right" vertical="center"/>
    </xf>
    <xf numFmtId="0" fontId="6" fillId="0" borderId="7" xfId="0" applyFont="1" applyBorder="1" applyAlignment="1">
      <alignment vertical="center"/>
    </xf>
    <xf numFmtId="43" fontId="6" fillId="0" borderId="1" xfId="1" applyNumberFormat="1" applyFont="1" applyBorder="1" applyAlignment="1">
      <alignment horizontal="right" vertical="center"/>
    </xf>
    <xf numFmtId="43" fontId="6" fillId="0" borderId="1" xfId="1" applyNumberFormat="1" applyFont="1" applyFill="1" applyBorder="1" applyAlignment="1">
      <alignment horizontal="right" vertical="center"/>
    </xf>
    <xf numFmtId="43" fontId="6" fillId="0" borderId="8" xfId="1" applyNumberFormat="1" applyFont="1" applyBorder="1" applyAlignment="1">
      <alignment horizontal="right" vertical="center"/>
    </xf>
    <xf numFmtId="43" fontId="6" fillId="0" borderId="7" xfId="1" applyNumberFormat="1" applyFont="1" applyBorder="1" applyAlignment="1">
      <alignment horizontal="right" vertical="center"/>
    </xf>
    <xf numFmtId="0" fontId="6" fillId="0" borderId="0" xfId="0" applyFont="1" applyAlignment="1">
      <alignment horizontal="left" vertical="center"/>
    </xf>
    <xf numFmtId="167" fontId="9" fillId="2" borderId="0" xfId="3" applyNumberFormat="1" applyFont="1" applyFill="1" applyBorder="1"/>
    <xf numFmtId="41" fontId="11" fillId="2" borderId="0" xfId="0" applyNumberFormat="1" applyFont="1" applyFill="1" applyAlignment="1">
      <alignment horizontal="right"/>
    </xf>
    <xf numFmtId="167" fontId="7" fillId="0" borderId="0" xfId="3" applyNumberFormat="1" applyFont="1" applyFill="1" applyBorder="1"/>
    <xf numFmtId="0" fontId="11" fillId="0" borderId="1" xfId="0" applyFont="1" applyBorder="1"/>
    <xf numFmtId="41" fontId="11" fillId="0" borderId="1" xfId="0" applyNumberFormat="1" applyFont="1" applyBorder="1"/>
    <xf numFmtId="0" fontId="18" fillId="0" borderId="12" xfId="0" applyFont="1" applyBorder="1"/>
    <xf numFmtId="0" fontId="18" fillId="0" borderId="11" xfId="0" applyFont="1" applyBorder="1"/>
    <xf numFmtId="167" fontId="8" fillId="0" borderId="6" xfId="3" applyNumberFormat="1" applyFont="1" applyFill="1" applyBorder="1"/>
    <xf numFmtId="167" fontId="8" fillId="0" borderId="0" xfId="3" applyNumberFormat="1" applyFont="1" applyFill="1" applyBorder="1" applyAlignment="1">
      <alignment horizontal="right"/>
    </xf>
    <xf numFmtId="167" fontId="8" fillId="0" borderId="0" xfId="3" applyNumberFormat="1" applyFont="1" applyFill="1" applyBorder="1"/>
    <xf numFmtId="43" fontId="8" fillId="0" borderId="9" xfId="1" applyNumberFormat="1" applyFont="1" applyFill="1" applyBorder="1" applyAlignment="1">
      <alignment vertical="center"/>
    </xf>
    <xf numFmtId="43" fontId="8" fillId="0" borderId="9" xfId="1" applyNumberFormat="1" applyFont="1" applyFill="1" applyBorder="1" applyAlignment="1">
      <alignment horizontal="right" vertical="center"/>
    </xf>
    <xf numFmtId="43" fontId="8" fillId="0" borderId="1" xfId="1" applyNumberFormat="1" applyFont="1" applyFill="1" applyBorder="1" applyAlignment="1">
      <alignment horizontal="right" vertical="center"/>
    </xf>
    <xf numFmtId="0" fontId="8" fillId="0" borderId="0" xfId="0" applyFont="1" applyAlignment="1">
      <alignment horizontal="right"/>
    </xf>
    <xf numFmtId="0" fontId="20" fillId="0" borderId="0" xfId="0" applyFont="1" applyAlignment="1">
      <alignment horizontal="left"/>
    </xf>
    <xf numFmtId="0" fontId="11" fillId="0" borderId="11" xfId="0" applyFont="1" applyBorder="1" applyAlignment="1">
      <alignment horizontal="center" vertical="center" wrapText="1"/>
    </xf>
    <xf numFmtId="0" fontId="11" fillId="2" borderId="1" xfId="0" applyFont="1" applyFill="1" applyBorder="1" applyAlignment="1">
      <alignment horizontal="center"/>
    </xf>
    <xf numFmtId="0" fontId="12" fillId="2" borderId="0" xfId="0" applyFont="1" applyFill="1" applyAlignment="1">
      <alignment horizontal="right" wrapText="1"/>
    </xf>
    <xf numFmtId="167" fontId="8" fillId="0" borderId="1" xfId="3" applyNumberFormat="1" applyFont="1" applyFill="1" applyBorder="1"/>
    <xf numFmtId="167" fontId="8" fillId="0" borderId="0" xfId="0" applyNumberFormat="1" applyFont="1"/>
    <xf numFmtId="167" fontId="19" fillId="2" borderId="11" xfId="3" applyNumberFormat="1" applyFont="1" applyFill="1" applyBorder="1" applyAlignment="1">
      <alignment vertical="center"/>
    </xf>
    <xf numFmtId="167" fontId="8" fillId="2" borderId="5" xfId="3" applyNumberFormat="1" applyFont="1" applyFill="1" applyBorder="1"/>
    <xf numFmtId="167" fontId="8" fillId="2" borderId="0" xfId="3" applyNumberFormat="1" applyFont="1" applyFill="1" applyBorder="1"/>
    <xf numFmtId="167" fontId="8" fillId="2" borderId="0" xfId="3" applyNumberFormat="1" applyFont="1" applyFill="1" applyBorder="1" applyAlignment="1">
      <alignment horizontal="right"/>
    </xf>
    <xf numFmtId="167" fontId="19" fillId="2" borderId="13" xfId="3" applyNumberFormat="1" applyFont="1" applyFill="1" applyBorder="1" applyAlignment="1">
      <alignment vertical="center"/>
    </xf>
    <xf numFmtId="167" fontId="8" fillId="2" borderId="0" xfId="3" applyNumberFormat="1" applyFont="1" applyFill="1" applyBorder="1" applyAlignment="1">
      <alignment vertical="center"/>
    </xf>
    <xf numFmtId="43" fontId="8" fillId="2" borderId="9" xfId="1" applyNumberFormat="1" applyFont="1" applyFill="1" applyBorder="1" applyAlignment="1">
      <alignment horizontal="right" vertical="center"/>
    </xf>
    <xf numFmtId="43" fontId="8" fillId="2" borderId="1" xfId="1" applyNumberFormat="1" applyFont="1" applyFill="1" applyBorder="1" applyAlignment="1">
      <alignment horizontal="right" vertical="center"/>
    </xf>
    <xf numFmtId="0" fontId="18" fillId="0" borderId="0" xfId="0" applyFont="1" applyAlignment="1">
      <alignment horizontal="center" wrapText="1"/>
    </xf>
    <xf numFmtId="167" fontId="8" fillId="2" borderId="6" xfId="3" applyNumberFormat="1" applyFont="1" applyFill="1" applyBorder="1"/>
    <xf numFmtId="167" fontId="19" fillId="2" borderId="12" xfId="3" applyNumberFormat="1" applyFont="1" applyFill="1" applyBorder="1" applyAlignment="1">
      <alignment vertical="center"/>
    </xf>
    <xf numFmtId="167" fontId="8" fillId="2" borderId="13" xfId="3" applyNumberFormat="1" applyFont="1" applyFill="1" applyBorder="1" applyAlignment="1">
      <alignment vertical="center"/>
    </xf>
    <xf numFmtId="167" fontId="12" fillId="0" borderId="0" xfId="3" applyNumberFormat="1" applyFont="1" applyFill="1"/>
    <xf numFmtId="167" fontId="12" fillId="0" borderId="0" xfId="3" applyNumberFormat="1" applyFont="1" applyFill="1" applyBorder="1"/>
    <xf numFmtId="167" fontId="12" fillId="0" borderId="1" xfId="3" applyNumberFormat="1" applyFont="1" applyFill="1" applyBorder="1"/>
    <xf numFmtId="167" fontId="11" fillId="0" borderId="0" xfId="3" applyNumberFormat="1" applyFont="1" applyFill="1" applyBorder="1"/>
    <xf numFmtId="167" fontId="11" fillId="0" borderId="1" xfId="3" applyNumberFormat="1" applyFont="1" applyFill="1" applyBorder="1"/>
    <xf numFmtId="167" fontId="6" fillId="2" borderId="5" xfId="3" applyNumberFormat="1" applyFont="1" applyFill="1" applyBorder="1" applyAlignment="1">
      <alignment vertical="center"/>
    </xf>
    <xf numFmtId="167" fontId="8" fillId="2" borderId="6" xfId="3" applyNumberFormat="1" applyFont="1" applyFill="1" applyBorder="1" applyAlignment="1">
      <alignment vertical="center"/>
    </xf>
    <xf numFmtId="167" fontId="8" fillId="2" borderId="5" xfId="3" applyNumberFormat="1" applyFont="1" applyFill="1" applyBorder="1" applyAlignment="1">
      <alignment vertical="center"/>
    </xf>
    <xf numFmtId="165" fontId="11" fillId="2" borderId="0" xfId="1" applyNumberFormat="1" applyFont="1" applyFill="1" applyBorder="1" applyAlignment="1">
      <alignment horizontal="center"/>
    </xf>
    <xf numFmtId="0" fontId="7" fillId="0" borderId="0" xfId="0" applyFont="1" applyAlignment="1">
      <alignment vertical="top"/>
    </xf>
    <xf numFmtId="0" fontId="6" fillId="2" borderId="0" xfId="0" applyFont="1" applyFill="1" applyAlignment="1">
      <alignment horizontal="left" vertical="center"/>
    </xf>
    <xf numFmtId="167" fontId="8" fillId="2" borderId="0" xfId="3" applyNumberFormat="1" applyFont="1" applyFill="1" applyAlignment="1">
      <alignment horizontal="left" vertical="center"/>
    </xf>
    <xf numFmtId="167" fontId="8" fillId="2" borderId="0" xfId="0" applyNumberFormat="1" applyFont="1" applyFill="1" applyAlignment="1">
      <alignment horizontal="left" vertical="center"/>
    </xf>
    <xf numFmtId="0" fontId="8" fillId="2" borderId="0" xfId="0" applyFont="1" applyFill="1" applyAlignment="1">
      <alignment horizontal="left" vertical="center"/>
    </xf>
    <xf numFmtId="0" fontId="6" fillId="2" borderId="0" xfId="0" applyFont="1" applyFill="1"/>
    <xf numFmtId="167" fontId="8" fillId="2" borderId="0" xfId="3" applyNumberFormat="1" applyFont="1" applyFill="1"/>
    <xf numFmtId="167" fontId="8" fillId="2" borderId="0" xfId="0" applyNumberFormat="1" applyFont="1" applyFill="1"/>
    <xf numFmtId="0" fontId="8" fillId="2" borderId="0" xfId="0" applyFont="1" applyFill="1"/>
    <xf numFmtId="167" fontId="6" fillId="2" borderId="0" xfId="0" applyNumberFormat="1" applyFont="1" applyFill="1" applyAlignment="1">
      <alignment vertical="center"/>
    </xf>
    <xf numFmtId="0" fontId="6" fillId="2" borderId="0" xfId="0" applyFont="1" applyFill="1" applyAlignment="1">
      <alignment vertical="center"/>
    </xf>
    <xf numFmtId="0" fontId="8" fillId="2" borderId="0" xfId="0" quotePrefix="1" applyFont="1" applyFill="1"/>
    <xf numFmtId="0" fontId="6" fillId="2" borderId="0" xfId="0" applyFont="1" applyFill="1" applyAlignment="1">
      <alignment horizontal="right"/>
    </xf>
    <xf numFmtId="43" fontId="6" fillId="2" borderId="0" xfId="0" applyNumberFormat="1" applyFont="1" applyFill="1" applyAlignment="1">
      <alignment horizontal="right"/>
    </xf>
    <xf numFmtId="167" fontId="7" fillId="0" borderId="0" xfId="3" applyNumberFormat="1" applyFont="1" applyFill="1" applyBorder="1" applyAlignment="1">
      <alignment vertical="top"/>
    </xf>
    <xf numFmtId="0" fontId="20" fillId="0" borderId="0" xfId="0" applyFont="1"/>
    <xf numFmtId="0" fontId="18" fillId="0" borderId="0" xfId="0" applyFont="1"/>
    <xf numFmtId="167" fontId="8" fillId="0" borderId="0" xfId="3" applyNumberFormat="1" applyFont="1" applyFill="1"/>
    <xf numFmtId="167" fontId="8" fillId="0" borderId="5" xfId="3" applyNumberFormat="1" applyFont="1" applyFill="1" applyBorder="1"/>
    <xf numFmtId="167" fontId="8" fillId="0" borderId="9" xfId="3" applyNumberFormat="1" applyFont="1" applyFill="1" applyBorder="1" applyAlignment="1">
      <alignment horizontal="right"/>
    </xf>
    <xf numFmtId="167" fontId="8" fillId="2" borderId="11" xfId="3" applyNumberFormat="1" applyFont="1" applyFill="1" applyBorder="1" applyAlignment="1">
      <alignment vertical="center"/>
    </xf>
    <xf numFmtId="165" fontId="12" fillId="0" borderId="0" xfId="0" applyNumberFormat="1" applyFont="1" applyAlignment="1">
      <alignment horizontal="center" wrapText="1"/>
    </xf>
    <xf numFmtId="169" fontId="12" fillId="0" borderId="0" xfId="0" applyNumberFormat="1" applyFont="1" applyAlignment="1">
      <alignment horizontal="center" wrapText="1"/>
    </xf>
    <xf numFmtId="169" fontId="11" fillId="0" borderId="0" xfId="0" applyNumberFormat="1" applyFont="1" applyAlignment="1">
      <alignment wrapText="1"/>
    </xf>
    <xf numFmtId="167" fontId="7" fillId="0" borderId="9" xfId="3" applyNumberFormat="1" applyFont="1" applyFill="1" applyBorder="1" applyAlignment="1">
      <alignment vertical="top"/>
    </xf>
    <xf numFmtId="0" fontId="6" fillId="0" borderId="5" xfId="0" applyFont="1" applyBorder="1" applyAlignment="1">
      <alignment horizontal="center"/>
    </xf>
    <xf numFmtId="0" fontId="6" fillId="0" borderId="5" xfId="0" applyFont="1" applyBorder="1"/>
    <xf numFmtId="0" fontId="6" fillId="0" borderId="9" xfId="0" applyFont="1" applyBorder="1" applyAlignment="1">
      <alignment vertical="center" wrapText="1"/>
    </xf>
    <xf numFmtId="0" fontId="6" fillId="0" borderId="10" xfId="0" applyFont="1" applyBorder="1" applyAlignment="1">
      <alignment vertical="center" wrapText="1"/>
    </xf>
    <xf numFmtId="168" fontId="17" fillId="2" borderId="15" xfId="3" quotePrefix="1" applyNumberFormat="1" applyFont="1" applyFill="1" applyBorder="1" applyAlignment="1">
      <alignment horizontal="right"/>
    </xf>
    <xf numFmtId="167" fontId="6" fillId="2" borderId="0" xfId="0" quotePrefix="1" applyNumberFormat="1" applyFont="1" applyFill="1" applyAlignment="1">
      <alignment horizontal="right" vertical="center"/>
    </xf>
    <xf numFmtId="167" fontId="12" fillId="3" borderId="9" xfId="3" applyNumberFormat="1" applyFont="1" applyFill="1" applyBorder="1"/>
    <xf numFmtId="165" fontId="12" fillId="2" borderId="0" xfId="0" applyNumberFormat="1" applyFont="1" applyFill="1" applyAlignment="1">
      <alignment horizontal="right" wrapText="1"/>
    </xf>
    <xf numFmtId="0" fontId="6" fillId="0" borderId="0" xfId="0" applyFont="1" applyAlignment="1">
      <alignment wrapText="1"/>
    </xf>
    <xf numFmtId="167" fontId="6" fillId="2" borderId="9" xfId="3" applyNumberFormat="1" applyFont="1" applyFill="1" applyBorder="1"/>
    <xf numFmtId="0" fontId="7" fillId="0" borderId="16" xfId="0" applyFont="1" applyBorder="1" applyAlignment="1">
      <alignment horizontal="center" vertical="center" wrapText="1"/>
    </xf>
    <xf numFmtId="167" fontId="6" fillId="2" borderId="3" xfId="3" applyNumberFormat="1" applyFont="1" applyFill="1" applyBorder="1"/>
    <xf numFmtId="167" fontId="8" fillId="2" borderId="3" xfId="3" applyNumberFormat="1" applyFont="1" applyFill="1" applyBorder="1"/>
    <xf numFmtId="167" fontId="8" fillId="0" borderId="3" xfId="3" applyNumberFormat="1" applyFont="1" applyFill="1" applyBorder="1"/>
    <xf numFmtId="167" fontId="8" fillId="2" borderId="3" xfId="3" applyNumberFormat="1" applyFont="1" applyFill="1" applyBorder="1" applyAlignment="1">
      <alignment vertical="center"/>
    </xf>
    <xf numFmtId="167" fontId="19" fillId="2" borderId="16" xfId="3" applyNumberFormat="1" applyFont="1" applyFill="1" applyBorder="1" applyAlignment="1">
      <alignment vertical="center"/>
    </xf>
    <xf numFmtId="43" fontId="8" fillId="2" borderId="10" xfId="1" applyNumberFormat="1" applyFont="1" applyFill="1" applyBorder="1" applyAlignment="1">
      <alignment horizontal="right" vertical="center"/>
    </xf>
    <xf numFmtId="43" fontId="8" fillId="2" borderId="17" xfId="1" applyNumberFormat="1" applyFont="1" applyFill="1" applyBorder="1" applyAlignment="1">
      <alignment horizontal="right" vertical="center"/>
    </xf>
    <xf numFmtId="0" fontId="22" fillId="0" borderId="0" xfId="0" applyFont="1" applyAlignment="1">
      <alignment wrapText="1"/>
    </xf>
    <xf numFmtId="0" fontId="11" fillId="0" borderId="0" xfId="0" applyFont="1" applyAlignment="1">
      <alignment horizontal="center" wrapText="1"/>
    </xf>
    <xf numFmtId="0" fontId="6" fillId="2" borderId="0" xfId="0" applyFont="1" applyFill="1" applyAlignment="1">
      <alignment vertical="top" wrapText="1"/>
    </xf>
    <xf numFmtId="43" fontId="11" fillId="0" borderId="0" xfId="0" applyNumberFormat="1" applyFont="1"/>
    <xf numFmtId="167" fontId="22" fillId="0" borderId="0" xfId="0" applyNumberFormat="1" applyFont="1" applyAlignment="1">
      <alignment vertical="center"/>
    </xf>
    <xf numFmtId="0" fontId="12" fillId="0" borderId="0" xfId="0" applyFont="1" applyAlignment="1">
      <alignment horizontal="right" wrapText="1"/>
    </xf>
    <xf numFmtId="164" fontId="12" fillId="0" borderId="0" xfId="1" applyFont="1" applyFill="1" applyBorder="1" applyAlignment="1">
      <alignment horizontal="right" wrapText="1"/>
    </xf>
    <xf numFmtId="167" fontId="6" fillId="0" borderId="0" xfId="0" quotePrefix="1" applyNumberFormat="1" applyFont="1" applyAlignment="1">
      <alignment horizontal="right" vertical="center"/>
    </xf>
    <xf numFmtId="167" fontId="8" fillId="0" borderId="6" xfId="3" applyNumberFormat="1" applyFont="1" applyFill="1" applyBorder="1" applyAlignment="1">
      <alignment horizontal="right"/>
    </xf>
    <xf numFmtId="167" fontId="6" fillId="0" borderId="6" xfId="3" applyNumberFormat="1" applyFont="1" applyFill="1" applyBorder="1"/>
    <xf numFmtId="167" fontId="8" fillId="0" borderId="6" xfId="3" applyNumberFormat="1" applyFont="1" applyFill="1" applyBorder="1" applyAlignment="1">
      <alignment vertical="center"/>
    </xf>
    <xf numFmtId="167" fontId="8" fillId="0" borderId="0" xfId="3" applyNumberFormat="1" applyFont="1" applyFill="1" applyBorder="1" applyAlignment="1">
      <alignment vertical="center"/>
    </xf>
    <xf numFmtId="167" fontId="19" fillId="0" borderId="12" xfId="3" applyNumberFormat="1" applyFont="1" applyFill="1" applyBorder="1" applyAlignment="1">
      <alignment vertical="center"/>
    </xf>
    <xf numFmtId="167" fontId="19" fillId="0" borderId="11" xfId="3" applyNumberFormat="1" applyFont="1" applyFill="1" applyBorder="1" applyAlignment="1">
      <alignment vertical="center"/>
    </xf>
    <xf numFmtId="167" fontId="9" fillId="0" borderId="0" xfId="3" applyNumberFormat="1" applyFont="1" applyFill="1" applyBorder="1"/>
    <xf numFmtId="165" fontId="11" fillId="0" borderId="0" xfId="0" applyNumberFormat="1" applyFont="1" applyAlignment="1">
      <alignment wrapText="1"/>
    </xf>
    <xf numFmtId="0" fontId="11" fillId="2" borderId="0" xfId="0" applyFont="1" applyFill="1" applyAlignment="1">
      <alignment horizontal="center" wrapText="1"/>
    </xf>
    <xf numFmtId="0" fontId="6" fillId="2" borderId="0" xfId="0" applyFont="1" applyFill="1" applyAlignment="1">
      <alignment wrapText="1"/>
    </xf>
    <xf numFmtId="165" fontId="11" fillId="2" borderId="0" xfId="1" applyNumberFormat="1" applyFont="1" applyFill="1" applyBorder="1" applyAlignment="1">
      <alignment horizontal="right" wrapText="1"/>
    </xf>
    <xf numFmtId="167" fontId="8" fillId="2" borderId="1" xfId="3" applyNumberFormat="1" applyFont="1" applyFill="1" applyBorder="1"/>
    <xf numFmtId="0" fontId="7" fillId="2" borderId="11" xfId="0" applyFont="1" applyFill="1" applyBorder="1" applyAlignment="1">
      <alignment horizontal="center" vertical="center" wrapText="1"/>
    </xf>
    <xf numFmtId="0" fontId="7" fillId="2" borderId="13" xfId="0" applyFont="1" applyFill="1" applyBorder="1" applyAlignment="1">
      <alignment horizontal="center" vertical="center" wrapText="1"/>
    </xf>
    <xf numFmtId="170" fontId="11" fillId="0" borderId="0" xfId="5" applyNumberFormat="1" applyFont="1"/>
    <xf numFmtId="167" fontId="9" fillId="0" borderId="0" xfId="0" applyNumberFormat="1" applyFont="1"/>
    <xf numFmtId="167" fontId="7" fillId="0" borderId="0" xfId="0" applyNumberFormat="1" applyFont="1"/>
    <xf numFmtId="16" fontId="11" fillId="2" borderId="0" xfId="0" applyNumberFormat="1" applyFont="1" applyFill="1" applyAlignment="1">
      <alignment horizontal="center" wrapText="1"/>
    </xf>
    <xf numFmtId="0" fontId="7" fillId="2" borderId="0" xfId="0" applyFont="1" applyFill="1"/>
    <xf numFmtId="167" fontId="7" fillId="0" borderId="9" xfId="3" applyNumberFormat="1" applyFont="1" applyFill="1" applyBorder="1"/>
    <xf numFmtId="170" fontId="11" fillId="0" borderId="0" xfId="5" applyNumberFormat="1" applyFont="1" applyFill="1"/>
    <xf numFmtId="167" fontId="8" fillId="0" borderId="5" xfId="3" applyNumberFormat="1" applyFont="1" applyFill="1" applyBorder="1" applyAlignment="1">
      <alignment horizontal="right"/>
    </xf>
    <xf numFmtId="167" fontId="8" fillId="0" borderId="3" xfId="3" applyNumberFormat="1" applyFont="1" applyFill="1" applyBorder="1" applyAlignment="1">
      <alignment horizontal="right"/>
    </xf>
    <xf numFmtId="43" fontId="11" fillId="2" borderId="0" xfId="0" applyNumberFormat="1" applyFont="1" applyFill="1" applyAlignment="1">
      <alignment wrapText="1"/>
    </xf>
    <xf numFmtId="16" fontId="11" fillId="2" borderId="1" xfId="0" applyNumberFormat="1" applyFont="1" applyFill="1" applyBorder="1" applyAlignment="1">
      <alignment horizontal="center"/>
    </xf>
    <xf numFmtId="0" fontId="11" fillId="2" borderId="1" xfId="0" applyFont="1" applyFill="1" applyBorder="1" applyAlignment="1">
      <alignment horizontal="center" wrapText="1"/>
    </xf>
    <xf numFmtId="165" fontId="11" fillId="2" borderId="1" xfId="1" applyNumberFormat="1" applyFont="1" applyFill="1" applyBorder="1" applyAlignment="1">
      <alignment horizontal="right" wrapText="1"/>
    </xf>
    <xf numFmtId="167" fontId="6" fillId="0" borderId="3" xfId="3" applyNumberFormat="1" applyFont="1" applyFill="1" applyBorder="1"/>
    <xf numFmtId="167" fontId="19" fillId="0" borderId="16" xfId="3" applyNumberFormat="1" applyFont="1" applyFill="1" applyBorder="1" applyAlignment="1">
      <alignment vertical="center"/>
    </xf>
    <xf numFmtId="43" fontId="8" fillId="0" borderId="10" xfId="1" applyNumberFormat="1" applyFont="1" applyFill="1" applyBorder="1" applyAlignment="1">
      <alignment horizontal="right" vertical="center"/>
    </xf>
    <xf numFmtId="43" fontId="8" fillId="0" borderId="17" xfId="1" applyNumberFormat="1" applyFont="1" applyFill="1" applyBorder="1" applyAlignment="1">
      <alignment horizontal="right" vertical="center"/>
    </xf>
    <xf numFmtId="0" fontId="11" fillId="2" borderId="6" xfId="0" applyFont="1" applyFill="1" applyBorder="1" applyAlignment="1">
      <alignment horizontal="center"/>
    </xf>
    <xf numFmtId="16" fontId="11" fillId="0" borderId="6" xfId="0" quotePrefix="1" applyNumberFormat="1" applyFont="1" applyBorder="1" applyAlignment="1">
      <alignment horizontal="center"/>
    </xf>
    <xf numFmtId="0" fontId="11" fillId="0" borderId="6" xfId="0" applyFont="1" applyBorder="1" applyAlignment="1">
      <alignment horizontal="center"/>
    </xf>
    <xf numFmtId="0" fontId="7" fillId="0" borderId="0" xfId="0" applyFont="1" applyAlignment="1">
      <alignment horizontal="left"/>
    </xf>
    <xf numFmtId="165" fontId="11" fillId="0" borderId="0" xfId="1" applyNumberFormat="1" applyFont="1" applyFill="1" applyBorder="1" applyAlignment="1">
      <alignment horizontal="right" wrapText="1"/>
    </xf>
    <xf numFmtId="16" fontId="11" fillId="0" borderId="0" xfId="0" applyNumberFormat="1" applyFont="1" applyAlignment="1">
      <alignment horizontal="center" wrapText="1"/>
    </xf>
    <xf numFmtId="0" fontId="24" fillId="0" borderId="0" xfId="0" applyFont="1" applyAlignment="1">
      <alignment horizontal="center"/>
    </xf>
    <xf numFmtId="0" fontId="24" fillId="0" borderId="0" xfId="0" applyFont="1" applyAlignment="1">
      <alignment horizontal="center" wrapText="1"/>
    </xf>
    <xf numFmtId="165" fontId="11" fillId="0" borderId="0" xfId="1" applyNumberFormat="1" applyFont="1" applyFill="1" applyAlignment="1">
      <alignment horizontal="center"/>
    </xf>
    <xf numFmtId="0" fontId="6" fillId="2" borderId="0" xfId="0" applyFont="1" applyFill="1" applyAlignment="1">
      <alignment vertical="center" wrapText="1"/>
    </xf>
    <xf numFmtId="43" fontId="11" fillId="0" borderId="0" xfId="0" applyNumberFormat="1" applyFont="1" applyAlignment="1">
      <alignment wrapText="1"/>
    </xf>
    <xf numFmtId="0" fontId="6" fillId="2" borderId="0" xfId="0" applyFont="1" applyFill="1" applyAlignment="1">
      <alignment horizontal="left" vertical="center" wrapText="1"/>
    </xf>
    <xf numFmtId="0" fontId="11" fillId="0" borderId="11" xfId="0" applyFont="1" applyBorder="1" applyAlignment="1">
      <alignment wrapText="1"/>
    </xf>
    <xf numFmtId="43" fontId="8" fillId="2" borderId="2" xfId="1" applyNumberFormat="1" applyFont="1" applyFill="1" applyBorder="1" applyAlignment="1">
      <alignment horizontal="right" vertical="center"/>
    </xf>
    <xf numFmtId="43" fontId="8" fillId="2" borderId="4" xfId="1" applyNumberFormat="1" applyFont="1" applyFill="1" applyBorder="1" applyAlignment="1">
      <alignment horizontal="right" vertical="center"/>
    </xf>
    <xf numFmtId="0" fontId="6" fillId="2" borderId="0" xfId="0" quotePrefix="1" applyFont="1" applyFill="1" applyAlignment="1">
      <alignment horizontal="left" vertical="center" wrapText="1"/>
    </xf>
    <xf numFmtId="164" fontId="11" fillId="2" borderId="0" xfId="1" applyFont="1" applyFill="1" applyAlignment="1">
      <alignment horizontal="right"/>
    </xf>
    <xf numFmtId="164" fontId="11" fillId="2" borderId="1" xfId="1" applyFont="1" applyFill="1" applyBorder="1" applyAlignment="1">
      <alignment horizontal="right"/>
    </xf>
    <xf numFmtId="164" fontId="11" fillId="2" borderId="0" xfId="1" applyFont="1" applyFill="1" applyBorder="1" applyAlignment="1">
      <alignment horizontal="right"/>
    </xf>
    <xf numFmtId="164" fontId="12" fillId="2" borderId="0" xfId="1" applyFont="1" applyFill="1" applyAlignment="1">
      <alignment horizontal="right"/>
    </xf>
    <xf numFmtId="164" fontId="12" fillId="2" borderId="0" xfId="1" applyFont="1" applyFill="1" applyBorder="1" applyAlignment="1">
      <alignment horizontal="right"/>
    </xf>
    <xf numFmtId="164" fontId="11" fillId="2" borderId="0" xfId="1" applyFont="1" applyFill="1" applyAlignment="1">
      <alignment horizontal="right" vertical="top"/>
    </xf>
    <xf numFmtId="0" fontId="22" fillId="0" borderId="0" xfId="0" applyFont="1" applyAlignment="1">
      <alignment horizontal="right"/>
    </xf>
    <xf numFmtId="0" fontId="3" fillId="0" borderId="0" xfId="2"/>
    <xf numFmtId="3" fontId="12" fillId="3" borderId="9" xfId="3" applyNumberFormat="1" applyFont="1" applyFill="1" applyBorder="1"/>
    <xf numFmtId="169" fontId="11" fillId="0" borderId="0" xfId="5" applyNumberFormat="1" applyFont="1"/>
    <xf numFmtId="41" fontId="8" fillId="0" borderId="0" xfId="0" applyNumberFormat="1" applyFont="1" applyAlignment="1">
      <alignment horizontal="left" vertical="center" wrapText="1" readingOrder="1"/>
    </xf>
    <xf numFmtId="43" fontId="8" fillId="2" borderId="0" xfId="1" applyNumberFormat="1" applyFont="1" applyFill="1" applyBorder="1" applyAlignment="1">
      <alignment horizontal="left" vertical="center"/>
    </xf>
    <xf numFmtId="0" fontId="11" fillId="0" borderId="1" xfId="0" applyFont="1" applyBorder="1" applyAlignment="1">
      <alignment wrapText="1"/>
    </xf>
    <xf numFmtId="0" fontId="12" fillId="0" borderId="1" xfId="0" applyFont="1" applyBorder="1" applyAlignment="1">
      <alignment horizontal="center" wrapText="1"/>
    </xf>
    <xf numFmtId="164" fontId="12" fillId="2" borderId="1" xfId="1" applyFont="1" applyFill="1" applyBorder="1" applyAlignment="1">
      <alignment horizontal="right" wrapText="1"/>
    </xf>
    <xf numFmtId="167" fontId="11" fillId="2" borderId="0" xfId="3" applyNumberFormat="1" applyFont="1" applyFill="1" applyBorder="1"/>
    <xf numFmtId="167" fontId="8" fillId="2" borderId="0" xfId="0" quotePrefix="1" applyNumberFormat="1" applyFont="1" applyFill="1" applyAlignment="1">
      <alignment horizontal="right" vertical="center"/>
    </xf>
    <xf numFmtId="164" fontId="6" fillId="0" borderId="0" xfId="0" applyNumberFormat="1" applyFont="1" applyAlignment="1">
      <alignment horizontal="right"/>
    </xf>
    <xf numFmtId="2" fontId="6" fillId="0" borderId="0" xfId="0" applyNumberFormat="1" applyFont="1"/>
    <xf numFmtId="165" fontId="6" fillId="0" borderId="0" xfId="1" applyNumberFormat="1" applyFont="1"/>
    <xf numFmtId="165" fontId="19" fillId="2" borderId="16" xfId="1" applyNumberFormat="1" applyFont="1" applyFill="1" applyBorder="1" applyAlignment="1">
      <alignment vertical="center"/>
    </xf>
    <xf numFmtId="172" fontId="40" fillId="0" borderId="0" xfId="7" applyNumberFormat="1" applyFont="1"/>
    <xf numFmtId="172" fontId="11" fillId="0" borderId="0" xfId="0" applyNumberFormat="1" applyFont="1"/>
    <xf numFmtId="164" fontId="6" fillId="0" borderId="0" xfId="0" applyNumberFormat="1" applyFont="1" applyAlignment="1">
      <alignment vertical="center"/>
    </xf>
    <xf numFmtId="0" fontId="11" fillId="0" borderId="0" xfId="0" applyFont="1" applyAlignment="1">
      <alignment vertical="center" wrapText="1"/>
    </xf>
    <xf numFmtId="0" fontId="24" fillId="0" borderId="0" xfId="0" applyFont="1" applyAlignment="1">
      <alignment horizontal="center" vertical="center" wrapText="1"/>
    </xf>
    <xf numFmtId="0" fontId="12" fillId="2" borderId="0" xfId="0" applyFont="1" applyFill="1" applyAlignment="1">
      <alignment horizontal="right" vertical="center" wrapText="1"/>
    </xf>
    <xf numFmtId="0" fontId="16" fillId="0" borderId="0" xfId="0" applyFont="1" applyAlignment="1">
      <alignment horizontal="center" vertical="center" wrapText="1"/>
    </xf>
    <xf numFmtId="0" fontId="18" fillId="0" borderId="0" xfId="0" applyFont="1" applyAlignment="1">
      <alignment horizontal="right"/>
    </xf>
    <xf numFmtId="165" fontId="11" fillId="0" borderId="1" xfId="1" applyNumberFormat="1" applyFont="1" applyFill="1" applyBorder="1" applyAlignment="1">
      <alignment horizontal="center"/>
    </xf>
    <xf numFmtId="2" fontId="12" fillId="0" borderId="0" xfId="0" applyNumberFormat="1" applyFont="1" applyAlignment="1">
      <alignment horizontal="center" wrapText="1"/>
    </xf>
    <xf numFmtId="164" fontId="12" fillId="0" borderId="0" xfId="1" applyFont="1" applyBorder="1" applyAlignment="1">
      <alignment horizontal="center" wrapText="1"/>
    </xf>
    <xf numFmtId="0" fontId="11" fillId="0" borderId="0" xfId="0" applyFont="1" applyAlignment="1">
      <alignment horizontal="left"/>
    </xf>
    <xf numFmtId="16" fontId="11" fillId="0" borderId="7" xfId="0" applyNumberFormat="1" applyFont="1" applyBorder="1" applyAlignment="1">
      <alignment horizontal="center" wrapText="1"/>
    </xf>
    <xf numFmtId="0" fontId="16" fillId="2" borderId="0" xfId="0" applyFont="1" applyFill="1" applyAlignment="1">
      <alignment horizontal="center" vertical="center" wrapText="1"/>
    </xf>
    <xf numFmtId="41" fontId="8" fillId="4" borderId="0" xfId="0" applyNumberFormat="1" applyFont="1" applyFill="1" applyAlignment="1">
      <alignment horizontal="left" vertical="center" wrapText="1" readingOrder="1"/>
    </xf>
    <xf numFmtId="167" fontId="6" fillId="4" borderId="3" xfId="3" applyNumberFormat="1" applyFont="1" applyFill="1" applyBorder="1"/>
    <xf numFmtId="165" fontId="8" fillId="2" borderId="3" xfId="1" applyNumberFormat="1" applyFont="1" applyFill="1" applyBorder="1"/>
    <xf numFmtId="165" fontId="8" fillId="2" borderId="3" xfId="1" applyNumberFormat="1" applyFont="1" applyFill="1" applyBorder="1" applyAlignment="1">
      <alignment vertical="center"/>
    </xf>
    <xf numFmtId="165" fontId="12" fillId="2" borderId="0" xfId="0" applyNumberFormat="1" applyFont="1" applyFill="1" applyAlignment="1">
      <alignment horizontal="right" vertical="center" wrapText="1"/>
    </xf>
    <xf numFmtId="164" fontId="11" fillId="0" borderId="0" xfId="0" applyNumberFormat="1" applyFont="1" applyAlignment="1">
      <alignment vertical="center" wrapText="1"/>
    </xf>
    <xf numFmtId="16" fontId="11" fillId="2" borderId="6" xfId="0" applyNumberFormat="1" applyFont="1" applyFill="1" applyBorder="1" applyAlignment="1">
      <alignment horizontal="center" wrapText="1"/>
    </xf>
    <xf numFmtId="16" fontId="11" fillId="2" borderId="6" xfId="0" quotePrefix="1" applyNumberFormat="1" applyFont="1" applyFill="1" applyBorder="1" applyAlignment="1">
      <alignment horizontal="center" wrapText="1"/>
    </xf>
    <xf numFmtId="0" fontId="9" fillId="2" borderId="0" xfId="0" quotePrefix="1" applyFont="1" applyFill="1" applyAlignment="1">
      <alignment horizontal="left" vertical="center" wrapText="1"/>
    </xf>
    <xf numFmtId="0" fontId="18" fillId="2" borderId="6" xfId="0" quotePrefix="1" applyFont="1" applyFill="1" applyBorder="1" applyAlignment="1">
      <alignment horizontal="left" vertical="center" wrapText="1"/>
    </xf>
    <xf numFmtId="167" fontId="11" fillId="0" borderId="0" xfId="3" applyNumberFormat="1" applyFont="1" applyFill="1"/>
    <xf numFmtId="167" fontId="9" fillId="2" borderId="0" xfId="0" quotePrefix="1" applyNumberFormat="1" applyFont="1" applyFill="1" applyAlignment="1">
      <alignment horizontal="right" vertical="center"/>
    </xf>
    <xf numFmtId="0" fontId="11" fillId="0" borderId="1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7"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6" fillId="2" borderId="0" xfId="0" applyFont="1" applyFill="1" applyAlignment="1">
      <alignment horizontal="left" vertical="center"/>
    </xf>
    <xf numFmtId="0" fontId="6" fillId="0" borderId="0" xfId="0" applyFont="1" applyAlignment="1">
      <alignment horizontal="left" vertical="center" wrapText="1"/>
    </xf>
    <xf numFmtId="0" fontId="8" fillId="2" borderId="0" xfId="0" applyFont="1" applyFill="1" applyAlignment="1">
      <alignment horizontal="left" vertical="center" wrapText="1"/>
    </xf>
    <xf numFmtId="0" fontId="6" fillId="2" borderId="0" xfId="0" applyFont="1" applyFill="1" applyAlignment="1">
      <alignment horizontal="left" vertical="top" wrapText="1"/>
    </xf>
    <xf numFmtId="0" fontId="6" fillId="2" borderId="0" xfId="0" applyFont="1" applyFill="1" applyAlignment="1">
      <alignment horizontal="left" vertical="center" wrapText="1"/>
    </xf>
    <xf numFmtId="0" fontId="6" fillId="2" borderId="0" xfId="0" quotePrefix="1" applyFont="1" applyFill="1" applyAlignment="1">
      <alignment horizontal="left" vertical="center" wrapText="1"/>
    </xf>
    <xf numFmtId="0" fontId="6" fillId="2" borderId="6" xfId="0" applyFont="1" applyFill="1" applyBorder="1" applyAlignment="1">
      <alignment horizontal="left" vertical="center" wrapText="1"/>
    </xf>
    <xf numFmtId="0" fontId="23" fillId="0" borderId="1" xfId="0" applyFont="1" applyBorder="1" applyAlignment="1">
      <alignment horizontal="center" wrapText="1"/>
    </xf>
    <xf numFmtId="0" fontId="18"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18" fillId="0" borderId="1" xfId="0" applyFont="1" applyBorder="1" applyAlignment="1">
      <alignment horizontal="center"/>
    </xf>
  </cellXfs>
  <cellStyles count="105">
    <cellStyle name="20 % - Accent1 2" xfId="10" xr:uid="{32EC0ABB-9455-4BA6-BCF6-73E010A6513F}"/>
    <cellStyle name="20 % - Accent2 2" xfId="11" xr:uid="{2F529677-3C88-40CE-927C-E1A3B6F4CA33}"/>
    <cellStyle name="20 % - Accent3 2" xfId="12" xr:uid="{05DD799A-F220-4CBD-9E75-77025F4A65BB}"/>
    <cellStyle name="20 % - Accent4 2" xfId="13" xr:uid="{CE65EB22-7208-4868-A865-C33A74D125B9}"/>
    <cellStyle name="20 % - Accent5 2" xfId="14" xr:uid="{01F3A6CE-D14D-4108-B593-EEEA03D44314}"/>
    <cellStyle name="20 % - Accent6 2" xfId="15" xr:uid="{F0729420-7B98-4801-977A-1DA64E4080A0}"/>
    <cellStyle name="20% - Accent1 2" xfId="16" xr:uid="{7D9122D7-47BF-440B-BCF0-101EB011268F}"/>
    <cellStyle name="20% - Accent2 2" xfId="17" xr:uid="{FC474388-1080-4C22-8440-768729388295}"/>
    <cellStyle name="20% - Accent3 2" xfId="18" xr:uid="{1BE4482E-D790-4190-9918-BDFFE70E4610}"/>
    <cellStyle name="20% - Accent4 2" xfId="19" xr:uid="{A2D6D8BB-1604-41A5-AF68-4CB10998F1DC}"/>
    <cellStyle name="20% - Accent5 2" xfId="20" xr:uid="{0FE0FB11-A78F-4F26-84D2-75200D28A171}"/>
    <cellStyle name="20% - Accent6 2" xfId="21" xr:uid="{75BBF236-712E-4A2C-BA5F-BDAACB9099AA}"/>
    <cellStyle name="40 % - Accent1 2" xfId="22" xr:uid="{0B423AF1-B9AC-4FAF-9686-65B475CD9D67}"/>
    <cellStyle name="40 % - Accent2 2" xfId="23" xr:uid="{DBE7BF1E-B8BA-4E65-B25A-46777B1D125E}"/>
    <cellStyle name="40 % - Accent3 2" xfId="24" xr:uid="{31A83E21-F58A-43F1-AE0C-89A871C4AC6A}"/>
    <cellStyle name="40 % - Accent4 2" xfId="25" xr:uid="{6EA97BB3-F179-4C78-9452-F830FAA9E02E}"/>
    <cellStyle name="40 % - Accent5 2" xfId="26" xr:uid="{78647727-3F3A-4FBC-8BBE-76276BCE4835}"/>
    <cellStyle name="40 % - Accent6 2" xfId="27" xr:uid="{A0AC437F-94DD-488B-9C3A-8BB8EEE0EF7D}"/>
    <cellStyle name="40% - Accent1 2" xfId="28" xr:uid="{1C3829B9-0F65-4200-9122-2E2B11CC2AB7}"/>
    <cellStyle name="40% - Accent2 2" xfId="29" xr:uid="{517D1D32-AC7A-4481-B798-B712D82FE9D5}"/>
    <cellStyle name="40% - Accent3 2" xfId="30" xr:uid="{A9142393-7956-47E6-B9A4-C6C7800FCC78}"/>
    <cellStyle name="40% - Accent4 2" xfId="31" xr:uid="{E7382335-120B-40A4-AF73-B1C2B3053A02}"/>
    <cellStyle name="40% - Accent5 2" xfId="32" xr:uid="{B8B96501-0FFC-4062-8902-EB7B27046F33}"/>
    <cellStyle name="40% - Accent6 2" xfId="33" xr:uid="{887362F8-94D0-4CDE-9D6D-620D54D3388C}"/>
    <cellStyle name="60 % - Accent1 2" xfId="34" xr:uid="{2A381A59-C10E-48FE-A983-A93FA59761D8}"/>
    <cellStyle name="60 % - Accent2 2" xfId="35" xr:uid="{9395BEEA-96EC-4991-8D63-FB47F5FEAEE6}"/>
    <cellStyle name="60 % - Accent3 2" xfId="36" xr:uid="{EE4F7233-E859-44F4-A9E9-D0832B1A8A6B}"/>
    <cellStyle name="60 % - Accent4 2" xfId="37" xr:uid="{4042D9D7-AFA0-4DFE-B588-AF2B8571A2D6}"/>
    <cellStyle name="60 % - Accent5 2" xfId="38" xr:uid="{9E72661A-1441-427A-870B-0E74109D394B}"/>
    <cellStyle name="60 % - Accent6 2" xfId="39" xr:uid="{9E039990-98DD-4891-902E-B557A9E4BBDE}"/>
    <cellStyle name="60% - Accent1 2" xfId="40" xr:uid="{26B7DBEA-07C6-4DAB-B6DD-D8E080CD4C9F}"/>
    <cellStyle name="60% - Accent2 2" xfId="41" xr:uid="{6484B17C-DEC4-4F0D-9D0C-FCC415269FFC}"/>
    <cellStyle name="60% - Accent3 2" xfId="42" xr:uid="{9C867FDC-5FC8-4250-9CFE-AE1A8455CF11}"/>
    <cellStyle name="60% - Accent4 2" xfId="43" xr:uid="{3FA34430-2E83-4DEB-8870-0203F4DBC294}"/>
    <cellStyle name="60% - Accent5 2" xfId="44" xr:uid="{C72DB177-682E-45F0-83EE-A5D827B0297A}"/>
    <cellStyle name="60% - Accent6 2" xfId="45" xr:uid="{DBC71FD2-B95E-4B08-9FF1-A372F91B3E03}"/>
    <cellStyle name="Accent1 2" xfId="47" xr:uid="{9863FA5E-FEE5-4690-8C29-379366FC285E}"/>
    <cellStyle name="Accent1 3" xfId="48" xr:uid="{87FC683E-FB5A-404C-AC5F-8A3B0869572D}"/>
    <cellStyle name="Accent1 4" xfId="46" xr:uid="{00B4BD70-CBD5-4951-AE74-08067B461DE2}"/>
    <cellStyle name="Accent2 2" xfId="50" xr:uid="{E6F743E7-905C-48E8-96DA-F1E0267E0D2D}"/>
    <cellStyle name="Accent2 3" xfId="51" xr:uid="{54DBA878-23DE-493A-B31E-94BB3C2BFDAF}"/>
    <cellStyle name="Accent2 4" xfId="49" xr:uid="{0645960E-997A-4E66-8317-E81EB07395DF}"/>
    <cellStyle name="Accent3 2" xfId="53" xr:uid="{C5D3C43A-73EE-4E33-8CEC-8AD1989412CA}"/>
    <cellStyle name="Accent3 3" xfId="54" xr:uid="{5F2D40CE-D435-420F-B849-482D1C3FF21A}"/>
    <cellStyle name="Accent3 4" xfId="52" xr:uid="{1D4CBDE8-E0E5-4E07-87D1-5817F8B798F6}"/>
    <cellStyle name="Accent4 2" xfId="56" xr:uid="{3C2FE421-CC81-4A4A-A6DF-DA89F7847A80}"/>
    <cellStyle name="Accent4 3" xfId="57" xr:uid="{FF1547AB-EC09-48D9-8B37-A7EDA0F6E696}"/>
    <cellStyle name="Accent4 4" xfId="55" xr:uid="{1C5BADA1-512E-42FB-A7CE-78B486895CD0}"/>
    <cellStyle name="Accent5 2" xfId="59" xr:uid="{FF263D3B-06B3-4647-A7FF-C4880401C92D}"/>
    <cellStyle name="Accent5 3" xfId="60" xr:uid="{0843A7BA-6BC4-4063-9C82-04E4BAC47FBC}"/>
    <cellStyle name="Accent5 4" xfId="58" xr:uid="{D4194445-FF79-4F46-AB34-644E83465EC5}"/>
    <cellStyle name="Accent6 2" xfId="62" xr:uid="{F3A74DA2-0189-4E1F-8CE4-60CBDDDDA048}"/>
    <cellStyle name="Accent6 3" xfId="63" xr:uid="{06338A5A-539D-4337-B5DD-BC71F1920B78}"/>
    <cellStyle name="Accent6 4" xfId="61" xr:uid="{2490C5F9-F782-4090-99B0-D79C28D2F995}"/>
    <cellStyle name="Avertissement 2" xfId="64" xr:uid="{1E6E4A42-1460-48C0-B95B-AC66DD23D43C}"/>
    <cellStyle name="Bad 2" xfId="65" xr:uid="{4FE160B3-6247-4ACA-988D-FEEDAA55F532}"/>
    <cellStyle name="Calcul 2" xfId="66" xr:uid="{37901532-8BB9-4DF4-AF80-C94C2C18873A}"/>
    <cellStyle name="Calculation 2" xfId="67" xr:uid="{7F9EA37D-8B25-4E21-887A-268D2F2C484C}"/>
    <cellStyle name="Cellule liée 2" xfId="68" xr:uid="{5523115A-3DF1-4042-8871-021660F7F425}"/>
    <cellStyle name="Check Cell 2" xfId="69" xr:uid="{CEE02D5A-F5B5-4778-A7A9-7978EFEB4740}"/>
    <cellStyle name="Comma" xfId="1" builtinId="3"/>
    <cellStyle name="Comma 2" xfId="3" xr:uid="{00000000-0005-0000-0000-000001000000}"/>
    <cellStyle name="Comma 2 2" xfId="77" xr:uid="{DB76BC02-EF77-4203-A4F2-E0DCBE5454D4}"/>
    <cellStyle name="Comma 3" xfId="7" xr:uid="{9CFA12DE-E138-40DD-B790-9A2240D43246}"/>
    <cellStyle name="Commentaire 2" xfId="70" xr:uid="{863BF985-F7E8-4699-9F18-9312B6ED3F49}"/>
    <cellStyle name="Entrée 2" xfId="71" xr:uid="{C9CB1235-9169-4853-A851-9A403F3E96B3}"/>
    <cellStyle name="Explanatory Text 2" xfId="72" xr:uid="{28EB1F65-775C-498C-8BD5-96D9EC4EF819}"/>
    <cellStyle name="Good 2" xfId="73" xr:uid="{91D20EBD-2A20-4CA9-A989-D72D0378D773}"/>
    <cellStyle name="Hyperlink" xfId="2" builtinId="8"/>
    <cellStyle name="Input 2" xfId="74" xr:uid="{DA209465-999D-48B4-BABD-E7C986ED4274}"/>
    <cellStyle name="Insatisfaisant 2" xfId="75" xr:uid="{2ECB01B5-11C2-446B-A389-DB9C37562F85}"/>
    <cellStyle name="Linked Cell 2" xfId="76" xr:uid="{57078CD1-6A94-4B5F-9370-E9877E278521}"/>
    <cellStyle name="Milliers 2" xfId="78" xr:uid="{C7ADFCD6-4486-49A3-B089-EF499B8243C3}"/>
    <cellStyle name="Milliers 3" xfId="79" xr:uid="{E4025886-A5C4-4801-96E3-1A7A0872837C}"/>
    <cellStyle name="Neutral 2" xfId="80" xr:uid="{53497CB4-78FF-49E5-9769-AC5D22C71612}"/>
    <cellStyle name="Neutre 2" xfId="81" xr:uid="{EECE8341-779D-4DAE-9540-B92A03F01CB0}"/>
    <cellStyle name="Normal" xfId="0" builtinId="0"/>
    <cellStyle name="Normal 12" xfId="82" xr:uid="{F17BFAF9-127A-4151-AE0B-F398D94968FA}"/>
    <cellStyle name="Normal 2" xfId="83" xr:uid="{0BF23E84-276A-45BD-8E97-37A0C69B1622}"/>
    <cellStyle name="Normal 2 2" xfId="84" xr:uid="{ADF298D6-4F6B-415B-A781-248F12E1B6FD}"/>
    <cellStyle name="Normal 2 3" xfId="85" xr:uid="{1FB4D1E1-C0A7-45BD-8BB3-77B7945BF5A3}"/>
    <cellStyle name="Normal 2 4" xfId="86" xr:uid="{46C03D71-D859-4323-9829-241C9F93C448}"/>
    <cellStyle name="Normal 3" xfId="87" xr:uid="{255039B0-B95A-4DCB-B860-3A7A8132FA0C}"/>
    <cellStyle name="Normal 3 2" xfId="88" xr:uid="{8FF9318B-425A-4E4F-833E-EA34882E92B4}"/>
    <cellStyle name="Normal 35" xfId="89" xr:uid="{4859EF2F-C0A5-445A-8190-9C87EC8264D7}"/>
    <cellStyle name="Normal 4" xfId="90" xr:uid="{A0E39C86-028A-4732-ACC0-F8A98DD75FE4}"/>
    <cellStyle name="Normal 47 3" xfId="4" xr:uid="{00000000-0005-0000-0000-000004000000}"/>
    <cellStyle name="Normal 5" xfId="9" xr:uid="{06BEC340-BB7C-4022-B76E-2788C4D1F699}"/>
    <cellStyle name="Normal 6" xfId="6" xr:uid="{0F390F23-C63D-4076-908F-C6F589FBC165}"/>
    <cellStyle name="Note 2" xfId="91" xr:uid="{9727B9A1-0204-4C90-BE5C-62AB526C9924}"/>
    <cellStyle name="Output 2" xfId="92" xr:uid="{E071D928-E935-4BC2-B9CF-926D78362ABD}"/>
    <cellStyle name="Percent" xfId="5" builtinId="5"/>
    <cellStyle name="Percent 2" xfId="8" xr:uid="{B654A5AD-1C83-49CB-81FD-FE2DED34738E}"/>
    <cellStyle name="Satisfaisant 2" xfId="93" xr:uid="{398B1DAC-66DD-4852-89B3-B2AE053DE092}"/>
    <cellStyle name="Sortie 2" xfId="94" xr:uid="{27712D7D-8367-40DF-9EC8-011078833164}"/>
    <cellStyle name="Texte explicatif 2" xfId="95" xr:uid="{B2E8DF8A-5CCF-4B10-9581-057514200D0F}"/>
    <cellStyle name="Titre 1 2" xfId="96" xr:uid="{DC947386-9217-4150-88AB-3DE313A763C5}"/>
    <cellStyle name="Titre 2 2" xfId="97" xr:uid="{E4FCBD0E-E64D-4D85-9C0A-A88F72E8646D}"/>
    <cellStyle name="Titre 3 2" xfId="98" xr:uid="{05A9BA34-29E7-42F7-A1D5-D943F5242F50}"/>
    <cellStyle name="Titre 4 2" xfId="99" xr:uid="{7F0A7BDF-2DCF-4C73-A9F9-2973AD016762}"/>
    <cellStyle name="Total 2" xfId="101" xr:uid="{FDB6CE73-12A8-4FFD-823F-84FC0F9A5995}"/>
    <cellStyle name="Total 3" xfId="102" xr:uid="{DA49F17A-9DC5-4791-9AD8-3CD0743DA60A}"/>
    <cellStyle name="Total 4" xfId="100" xr:uid="{E39B8222-606B-455C-880D-6E3DEDECE2BE}"/>
    <cellStyle name="Vérification 2" xfId="103" xr:uid="{86C9A7FA-4E56-4D91-AE65-6C8BD5752D60}"/>
    <cellStyle name="Warning Text 2" xfId="104" xr:uid="{91B202BC-BFF7-449D-BD8F-AD0FCC95C6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rporate.arcelormittal.com/investors/equity-investors/share-buyback-program" TargetMode="External"/><Relationship Id="rId1" Type="http://schemas.openxmlformats.org/officeDocument/2006/relationships/hyperlink" Target="https://corporate.arcelormittal.com/investors/equity-investors/share-buyback-program"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corporate.arcelormittal.com/media/news/regulatory-news/arcelormittal-cancels-77-809-772-treasury-shares" TargetMode="External"/><Relationship Id="rId1" Type="http://schemas.openxmlformats.org/officeDocument/2006/relationships/hyperlink" Target="https://corporate.arcelormittal.com/investors/corporate-governance/shareholding-structu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98"/>
  <sheetViews>
    <sheetView showGridLines="0" tabSelected="1" zoomScaleNormal="100" zoomScaleSheetLayoutView="70" workbookViewId="0">
      <pane xSplit="2" ySplit="3" topLeftCell="C4" activePane="bottomRight" state="frozen"/>
      <selection pane="topRight" activeCell="C1" sqref="C1"/>
      <selection pane="bottomLeft" activeCell="A4" sqref="A4"/>
      <selection pane="bottomRight" activeCell="B27" sqref="B27"/>
    </sheetView>
  </sheetViews>
  <sheetFormatPr defaultColWidth="11.453125" defaultRowHeight="14" outlineLevelCol="1" x14ac:dyDescent="0.3"/>
  <cols>
    <col min="1" max="1" width="17.1796875" style="30" customWidth="1"/>
    <col min="2" max="2" width="22.1796875" style="52" customWidth="1"/>
    <col min="3" max="4" width="20.453125" style="53" customWidth="1" outlineLevel="1"/>
    <col min="5" max="5" width="15.81640625" style="53" customWidth="1"/>
    <col min="6" max="6" width="19.54296875" style="241" customWidth="1"/>
    <col min="7" max="7" width="18.1796875" style="53" customWidth="1"/>
    <col min="8" max="8" width="11.54296875" style="52" bestFit="1" customWidth="1"/>
    <col min="9" max="9" width="26.81640625" style="52" customWidth="1"/>
    <col min="10" max="10" width="15.453125" style="30" bestFit="1" customWidth="1"/>
    <col min="11" max="11" width="13.453125" style="30" bestFit="1" customWidth="1"/>
    <col min="12" max="12" width="11.81640625" style="30" bestFit="1" customWidth="1"/>
    <col min="13" max="13" width="12.54296875" style="30" bestFit="1" customWidth="1"/>
    <col min="14" max="16384" width="11.453125" style="30"/>
  </cols>
  <sheetData>
    <row r="1" spans="1:11" ht="14.5" x14ac:dyDescent="0.35">
      <c r="A1" s="51" t="s">
        <v>0</v>
      </c>
      <c r="F1" s="248" t="s">
        <v>90</v>
      </c>
    </row>
    <row r="2" spans="1:11" x14ac:dyDescent="0.3">
      <c r="G2" s="54"/>
      <c r="H2" s="55"/>
      <c r="I2" s="55"/>
    </row>
    <row r="3" spans="1:11" s="56" customFormat="1" ht="34.5" customHeight="1" x14ac:dyDescent="0.3">
      <c r="A3" s="253"/>
      <c r="B3" s="254" t="s">
        <v>1</v>
      </c>
      <c r="C3" s="57" t="s">
        <v>2</v>
      </c>
      <c r="D3" s="57" t="s">
        <v>3</v>
      </c>
      <c r="E3" s="57" t="s">
        <v>4</v>
      </c>
      <c r="F3" s="255" t="s">
        <v>5</v>
      </c>
      <c r="G3" s="57" t="s">
        <v>6</v>
      </c>
      <c r="H3" s="57" t="s">
        <v>7</v>
      </c>
      <c r="I3" s="58"/>
    </row>
    <row r="4" spans="1:11" s="265" customFormat="1" ht="18" customHeight="1" x14ac:dyDescent="0.35">
      <c r="B4" s="266">
        <v>2026</v>
      </c>
      <c r="C4" s="275"/>
      <c r="D4" s="275"/>
      <c r="E4" s="275"/>
      <c r="F4" s="268"/>
      <c r="G4" s="268"/>
      <c r="H4" s="267"/>
    </row>
    <row r="5" spans="1:11" s="265" customFormat="1" ht="4.5" customHeight="1" x14ac:dyDescent="0.3">
      <c r="A5" s="288" t="s">
        <v>418</v>
      </c>
      <c r="B5" s="282"/>
      <c r="C5" s="204"/>
      <c r="D5" s="142"/>
      <c r="E5" s="204"/>
      <c r="F5" s="243"/>
      <c r="G5" s="142"/>
      <c r="H5" s="267"/>
    </row>
    <row r="6" spans="1:11" s="265" customFormat="1" ht="15" customHeight="1" x14ac:dyDescent="0.3">
      <c r="A6" s="289"/>
      <c r="B6" s="282" t="s">
        <v>413</v>
      </c>
      <c r="C6" s="204">
        <v>86534</v>
      </c>
      <c r="D6" s="142">
        <v>69664</v>
      </c>
      <c r="E6" s="204">
        <f t="shared" ref="E6" si="0">D6+C6</f>
        <v>156198</v>
      </c>
      <c r="F6" s="243">
        <v>60.808199999999999</v>
      </c>
      <c r="G6" s="142">
        <f t="shared" ref="G6:G14" si="1">E6*F6</f>
        <v>9498119.2236000001</v>
      </c>
      <c r="H6" s="267"/>
    </row>
    <row r="7" spans="1:11" s="265" customFormat="1" ht="15" customHeight="1" x14ac:dyDescent="0.3">
      <c r="A7" s="289"/>
      <c r="B7" s="282" t="s">
        <v>403</v>
      </c>
      <c r="C7" s="204">
        <v>400000</v>
      </c>
      <c r="D7" s="142">
        <v>322020</v>
      </c>
      <c r="E7" s="204">
        <f t="shared" ref="E7:E14" si="2">D7+C7</f>
        <v>722020</v>
      </c>
      <c r="F7" s="243">
        <v>63.277918225256926</v>
      </c>
      <c r="G7" s="142">
        <f t="shared" si="1"/>
        <v>45687922.517000005</v>
      </c>
      <c r="H7" s="267"/>
    </row>
    <row r="8" spans="1:11" s="265" customFormat="1" ht="15" customHeight="1" x14ac:dyDescent="0.3">
      <c r="A8" s="289"/>
      <c r="B8" s="282" t="s">
        <v>402</v>
      </c>
      <c r="C8" s="204">
        <v>415253</v>
      </c>
      <c r="D8" s="142">
        <v>334299</v>
      </c>
      <c r="E8" s="204">
        <f t="shared" si="2"/>
        <v>749552</v>
      </c>
      <c r="F8" s="243">
        <v>63.831894801828284</v>
      </c>
      <c r="G8" s="142">
        <f t="shared" si="1"/>
        <v>47845324.412499994</v>
      </c>
      <c r="H8" s="267"/>
    </row>
    <row r="9" spans="1:11" s="265" customFormat="1" ht="15" customHeight="1" x14ac:dyDescent="0.3">
      <c r="A9" s="289"/>
      <c r="B9" s="282" t="s">
        <v>407</v>
      </c>
      <c r="C9" s="204">
        <v>208249</v>
      </c>
      <c r="D9" s="142">
        <v>167650</v>
      </c>
      <c r="E9" s="204">
        <f t="shared" si="2"/>
        <v>375899</v>
      </c>
      <c r="F9" s="243">
        <v>65.270047096959559</v>
      </c>
      <c r="G9" s="142">
        <f t="shared" si="1"/>
        <v>24534945.433700003</v>
      </c>
      <c r="H9" s="267"/>
    </row>
    <row r="10" spans="1:11" s="265" customFormat="1" ht="15" customHeight="1" x14ac:dyDescent="0.3">
      <c r="A10" s="289"/>
      <c r="B10" s="283" t="s">
        <v>411</v>
      </c>
      <c r="C10" s="204">
        <v>25000</v>
      </c>
      <c r="D10" s="142">
        <v>20126</v>
      </c>
      <c r="E10" s="204">
        <f t="shared" si="2"/>
        <v>45126</v>
      </c>
      <c r="F10" s="243">
        <v>65.291399999999996</v>
      </c>
      <c r="G10" s="142">
        <f t="shared" si="1"/>
        <v>2946339.7163999998</v>
      </c>
      <c r="H10" s="267"/>
    </row>
    <row r="11" spans="1:11" s="265" customFormat="1" ht="15" customHeight="1" x14ac:dyDescent="0.3">
      <c r="A11" s="289"/>
      <c r="B11" s="282" t="s">
        <v>412</v>
      </c>
      <c r="C11" s="204">
        <v>192505</v>
      </c>
      <c r="D11" s="142">
        <v>154975</v>
      </c>
      <c r="E11" s="204">
        <f t="shared" si="2"/>
        <v>347480</v>
      </c>
      <c r="F11" s="243">
        <v>63.675514822723606</v>
      </c>
      <c r="G11" s="142">
        <f t="shared" si="1"/>
        <v>22125967.8906</v>
      </c>
      <c r="H11" s="267"/>
    </row>
    <row r="12" spans="1:11" s="265" customFormat="1" ht="15" customHeight="1" x14ac:dyDescent="0.3">
      <c r="A12" s="289"/>
      <c r="B12" s="282" t="s">
        <v>410</v>
      </c>
      <c r="C12" s="204">
        <v>370000</v>
      </c>
      <c r="D12" s="142">
        <v>297868</v>
      </c>
      <c r="E12" s="204">
        <f t="shared" si="2"/>
        <v>667868</v>
      </c>
      <c r="F12" s="243">
        <v>62.610992980499141</v>
      </c>
      <c r="G12" s="142">
        <f t="shared" si="1"/>
        <v>41815878.659900002</v>
      </c>
      <c r="H12" s="267"/>
    </row>
    <row r="13" spans="1:11" s="265" customFormat="1" ht="15" customHeight="1" x14ac:dyDescent="0.3">
      <c r="A13" s="289"/>
      <c r="B13" s="282" t="s">
        <v>409</v>
      </c>
      <c r="C13" s="204">
        <v>174340</v>
      </c>
      <c r="D13" s="142">
        <v>140352</v>
      </c>
      <c r="E13" s="204">
        <f t="shared" si="2"/>
        <v>314692</v>
      </c>
      <c r="F13" s="243">
        <v>63.553067798355215</v>
      </c>
      <c r="G13" s="142">
        <f t="shared" si="1"/>
        <v>19999642.011599999</v>
      </c>
      <c r="H13" s="267"/>
    </row>
    <row r="14" spans="1:11" s="265" customFormat="1" ht="15" customHeight="1" x14ac:dyDescent="0.3">
      <c r="A14" s="290"/>
      <c r="B14" s="282" t="s">
        <v>408</v>
      </c>
      <c r="C14" s="204">
        <v>20000</v>
      </c>
      <c r="D14" s="142">
        <v>16101</v>
      </c>
      <c r="E14" s="204">
        <f t="shared" si="2"/>
        <v>36101</v>
      </c>
      <c r="F14" s="243">
        <v>61.661199999999994</v>
      </c>
      <c r="G14" s="142">
        <f t="shared" si="1"/>
        <v>2226030.9811999998</v>
      </c>
      <c r="H14" s="280"/>
      <c r="J14" s="280"/>
      <c r="K14" s="281"/>
    </row>
    <row r="15" spans="1:11" s="265" customFormat="1" ht="18" customHeight="1" x14ac:dyDescent="0.35">
      <c r="B15" s="266"/>
      <c r="C15" s="275"/>
      <c r="D15" s="275"/>
      <c r="E15" s="275"/>
      <c r="F15" s="268"/>
      <c r="G15" s="268"/>
      <c r="H15" s="267"/>
    </row>
    <row r="16" spans="1:11" s="265" customFormat="1" ht="15" customHeight="1" x14ac:dyDescent="0.3">
      <c r="A16" s="294" t="s">
        <v>417</v>
      </c>
      <c r="B16" s="230">
        <v>46202</v>
      </c>
      <c r="C16" s="204">
        <v>246385</v>
      </c>
      <c r="D16" s="63">
        <v>198353</v>
      </c>
      <c r="E16" s="204">
        <f t="shared" ref="E16:E22" si="3">D16+C16</f>
        <v>444738</v>
      </c>
      <c r="F16" s="241">
        <v>52.278300000000002</v>
      </c>
      <c r="G16" s="233">
        <f t="shared" ref="G16:G22" si="4">E16*F16</f>
        <v>23250146.5854</v>
      </c>
      <c r="H16" s="267"/>
    </row>
    <row r="17" spans="1:10" s="265" customFormat="1" ht="15" customHeight="1" x14ac:dyDescent="0.3">
      <c r="A17" s="295"/>
      <c r="B17" s="230" t="s">
        <v>394</v>
      </c>
      <c r="C17" s="204">
        <v>877000</v>
      </c>
      <c r="D17" s="63">
        <v>706031</v>
      </c>
      <c r="E17" s="204">
        <f t="shared" si="3"/>
        <v>1583031</v>
      </c>
      <c r="F17" s="241">
        <v>54.056800000000003</v>
      </c>
      <c r="G17" s="233">
        <f t="shared" si="4"/>
        <v>85573590.16080001</v>
      </c>
      <c r="H17" s="267"/>
    </row>
    <row r="18" spans="1:10" s="265" customFormat="1" ht="15" customHeight="1" x14ac:dyDescent="0.3">
      <c r="A18" s="295"/>
      <c r="B18" s="230" t="s">
        <v>393</v>
      </c>
      <c r="C18" s="204">
        <v>782019</v>
      </c>
      <c r="D18" s="63">
        <v>629565</v>
      </c>
      <c r="E18" s="204">
        <f t="shared" si="3"/>
        <v>1411584</v>
      </c>
      <c r="F18" s="241">
        <v>57.3551</v>
      </c>
      <c r="G18" s="233">
        <f t="shared" si="4"/>
        <v>80961541.478400007</v>
      </c>
      <c r="H18" s="267"/>
    </row>
    <row r="19" spans="1:10" s="265" customFormat="1" ht="15" customHeight="1" x14ac:dyDescent="0.3">
      <c r="A19" s="295"/>
      <c r="B19" s="230" t="s">
        <v>392</v>
      </c>
      <c r="C19" s="204">
        <v>1330800</v>
      </c>
      <c r="D19" s="63">
        <v>1071363</v>
      </c>
      <c r="E19" s="204">
        <f t="shared" si="3"/>
        <v>2402163</v>
      </c>
      <c r="F19" s="241">
        <v>57.719099999999997</v>
      </c>
      <c r="G19" s="233">
        <f t="shared" si="4"/>
        <v>138650686.41330001</v>
      </c>
      <c r="H19" s="267"/>
    </row>
    <row r="20" spans="1:10" s="265" customFormat="1" ht="15" customHeight="1" x14ac:dyDescent="0.3">
      <c r="A20" s="295"/>
      <c r="B20" s="230" t="s">
        <v>389</v>
      </c>
      <c r="C20" s="204">
        <v>447315</v>
      </c>
      <c r="D20" s="63">
        <v>360111</v>
      </c>
      <c r="E20" s="204">
        <f t="shared" si="3"/>
        <v>807426</v>
      </c>
      <c r="F20" s="241">
        <v>53.1815</v>
      </c>
      <c r="G20" s="233">
        <f t="shared" si="4"/>
        <v>42940125.818999998</v>
      </c>
      <c r="H20" s="267"/>
    </row>
    <row r="21" spans="1:10" s="265" customFormat="1" ht="15" customHeight="1" x14ac:dyDescent="0.3">
      <c r="A21" s="295"/>
      <c r="B21" s="230" t="s">
        <v>388</v>
      </c>
      <c r="C21" s="204">
        <v>451888</v>
      </c>
      <c r="D21" s="63">
        <v>363791</v>
      </c>
      <c r="E21" s="204">
        <f t="shared" si="3"/>
        <v>815679</v>
      </c>
      <c r="F21" s="241">
        <v>52.6663</v>
      </c>
      <c r="G21" s="233">
        <f t="shared" si="4"/>
        <v>42958794.9177</v>
      </c>
      <c r="H21" s="267"/>
    </row>
    <row r="22" spans="1:10" s="265" customFormat="1" ht="15" customHeight="1" x14ac:dyDescent="0.3">
      <c r="A22" s="295"/>
      <c r="B22" s="274" t="s">
        <v>387</v>
      </c>
      <c r="C22" s="220">
        <v>296600</v>
      </c>
      <c r="D22" s="66">
        <v>238779</v>
      </c>
      <c r="E22" s="220">
        <f t="shared" si="3"/>
        <v>535379</v>
      </c>
      <c r="F22" s="242">
        <v>51.217100000000002</v>
      </c>
      <c r="G22" s="270">
        <f t="shared" si="4"/>
        <v>27420559.780900002</v>
      </c>
      <c r="H22" s="267"/>
    </row>
    <row r="23" spans="1:10" s="56" customFormat="1" ht="15" customHeight="1" x14ac:dyDescent="0.3">
      <c r="A23" s="295"/>
      <c r="B23" s="232">
        <v>2025</v>
      </c>
      <c r="C23" s="191"/>
      <c r="D23" s="191"/>
      <c r="E23" s="191"/>
      <c r="F23" s="192"/>
      <c r="G23" s="191"/>
      <c r="H23" s="191"/>
      <c r="I23" s="58"/>
    </row>
    <row r="24" spans="1:10" s="56" customFormat="1" ht="15" customHeight="1" x14ac:dyDescent="0.3">
      <c r="A24" s="295"/>
      <c r="B24" s="230" t="s">
        <v>359</v>
      </c>
      <c r="C24" s="229">
        <v>106361</v>
      </c>
      <c r="D24" s="63">
        <v>0</v>
      </c>
      <c r="E24" s="229">
        <f t="shared" ref="E24:E25" si="5">C24</f>
        <v>106361</v>
      </c>
      <c r="F24" s="241">
        <v>26.426537769483176</v>
      </c>
      <c r="G24" s="233">
        <f>E24*F24</f>
        <v>2810752.9837000002</v>
      </c>
      <c r="H24" s="191"/>
      <c r="I24" s="58"/>
    </row>
    <row r="25" spans="1:10" s="56" customFormat="1" ht="15" customHeight="1" x14ac:dyDescent="0.3">
      <c r="A25" s="295"/>
      <c r="B25" s="230" t="s">
        <v>358</v>
      </c>
      <c r="C25" s="229">
        <v>406732</v>
      </c>
      <c r="D25" s="63">
        <v>0</v>
      </c>
      <c r="E25" s="229">
        <f t="shared" si="5"/>
        <v>406732</v>
      </c>
      <c r="F25" s="241">
        <v>26.286727652360771</v>
      </c>
      <c r="G25" s="233">
        <f>E25*F25</f>
        <v>10691653.311500002</v>
      </c>
      <c r="H25" s="191"/>
      <c r="I25" s="58"/>
    </row>
    <row r="26" spans="1:10" s="56" customFormat="1" ht="15" customHeight="1" x14ac:dyDescent="0.3">
      <c r="A26" s="295"/>
      <c r="B26" s="230" t="s">
        <v>357</v>
      </c>
      <c r="C26" s="229">
        <v>458845</v>
      </c>
      <c r="D26" s="63">
        <v>0</v>
      </c>
      <c r="E26" s="229">
        <f>C26</f>
        <v>458845</v>
      </c>
      <c r="F26" s="241">
        <v>26.395399999999999</v>
      </c>
      <c r="G26" s="233">
        <f>E26*F26</f>
        <v>12111397.312999999</v>
      </c>
      <c r="H26" s="191"/>
      <c r="I26" s="58"/>
    </row>
    <row r="27" spans="1:10" s="56" customFormat="1" ht="15" customHeight="1" x14ac:dyDescent="0.3">
      <c r="A27" s="295"/>
      <c r="B27" s="230" t="s">
        <v>356</v>
      </c>
      <c r="C27" s="229">
        <v>792934</v>
      </c>
      <c r="D27" s="63">
        <v>0</v>
      </c>
      <c r="E27" s="229">
        <f>C27</f>
        <v>792934</v>
      </c>
      <c r="F27" s="241">
        <v>26.245999999999999</v>
      </c>
      <c r="G27" s="233">
        <f>E27*F27</f>
        <v>20811345.763999999</v>
      </c>
      <c r="H27" s="191"/>
      <c r="I27" s="164"/>
      <c r="J27" s="235"/>
    </row>
    <row r="28" spans="1:10" s="56" customFormat="1" ht="15" customHeight="1" x14ac:dyDescent="0.3">
      <c r="A28" s="296"/>
      <c r="B28" s="230" t="s">
        <v>347</v>
      </c>
      <c r="C28" s="229">
        <v>235128</v>
      </c>
      <c r="D28" s="63">
        <v>0</v>
      </c>
      <c r="E28" s="229">
        <f>C28</f>
        <v>235128</v>
      </c>
      <c r="F28" s="241">
        <v>21.489067912371137</v>
      </c>
      <c r="G28" s="233">
        <f t="shared" ref="G28" si="6">E28*F28</f>
        <v>5052681.5601000004</v>
      </c>
      <c r="H28" s="191"/>
      <c r="I28" s="272"/>
    </row>
    <row r="29" spans="1:10" s="56" customFormat="1" ht="12.65" customHeight="1" x14ac:dyDescent="0.3">
      <c r="A29" s="237"/>
      <c r="B29" s="58"/>
      <c r="C29" s="191"/>
      <c r="D29" s="191"/>
      <c r="E29" s="191"/>
      <c r="F29" s="192"/>
      <c r="G29" s="191"/>
      <c r="H29" s="191"/>
      <c r="I29" s="58"/>
      <c r="J29" s="235"/>
    </row>
    <row r="30" spans="1:10" s="56" customFormat="1" ht="15" customHeight="1" x14ac:dyDescent="0.3">
      <c r="A30" s="291" t="s">
        <v>360</v>
      </c>
      <c r="B30" s="211" t="s">
        <v>352</v>
      </c>
      <c r="C30" s="204">
        <v>2322559</v>
      </c>
      <c r="D30" s="63">
        <v>0</v>
      </c>
      <c r="E30" s="63">
        <f t="shared" ref="E30:E33" si="7">C30</f>
        <v>2322559</v>
      </c>
      <c r="F30" s="241">
        <v>26.587499999999999</v>
      </c>
      <c r="G30" s="63">
        <f>E30*F30</f>
        <v>61751037.412499994</v>
      </c>
      <c r="I30" s="273"/>
    </row>
    <row r="31" spans="1:10" s="56" customFormat="1" ht="15" customHeight="1" x14ac:dyDescent="0.3">
      <c r="A31" s="292"/>
      <c r="B31" s="202" t="s">
        <v>280</v>
      </c>
      <c r="C31" s="204">
        <v>2574328</v>
      </c>
      <c r="D31" s="63">
        <v>0</v>
      </c>
      <c r="E31" s="63">
        <f t="shared" si="7"/>
        <v>2574328</v>
      </c>
      <c r="F31" s="241">
        <v>28.125572773321817</v>
      </c>
      <c r="G31" s="63">
        <f>E31*F31</f>
        <v>72404449.506400004</v>
      </c>
      <c r="I31" s="273"/>
    </row>
    <row r="32" spans="1:10" s="56" customFormat="1" ht="15" customHeight="1" x14ac:dyDescent="0.3">
      <c r="A32" s="292"/>
      <c r="B32" s="202" t="s">
        <v>345</v>
      </c>
      <c r="C32" s="204">
        <v>1250000</v>
      </c>
      <c r="D32" s="63">
        <v>0</v>
      </c>
      <c r="E32" s="63">
        <f t="shared" si="7"/>
        <v>1250000</v>
      </c>
      <c r="F32" s="241">
        <v>29.175139999999999</v>
      </c>
      <c r="G32" s="63">
        <f>E32*F32</f>
        <v>36468925</v>
      </c>
      <c r="H32" s="191"/>
      <c r="I32" s="58"/>
    </row>
    <row r="33" spans="1:9" s="56" customFormat="1" ht="15" customHeight="1" x14ac:dyDescent="0.3">
      <c r="A33" s="292"/>
      <c r="B33" s="202" t="s">
        <v>346</v>
      </c>
      <c r="C33" s="204">
        <v>472372</v>
      </c>
      <c r="D33" s="63">
        <v>0</v>
      </c>
      <c r="E33" s="63">
        <f t="shared" si="7"/>
        <v>472372</v>
      </c>
      <c r="F33" s="241">
        <v>28.667981871914506</v>
      </c>
      <c r="G33" s="63">
        <f>E33*F33</f>
        <v>13541951.932799999</v>
      </c>
      <c r="H33" s="191"/>
      <c r="I33" s="58"/>
    </row>
    <row r="34" spans="1:9" s="56" customFormat="1" ht="15" customHeight="1" x14ac:dyDescent="0.3">
      <c r="A34" s="292"/>
      <c r="B34" s="219" t="s">
        <v>334</v>
      </c>
      <c r="C34" s="220">
        <v>172300</v>
      </c>
      <c r="D34" s="66">
        <v>0</v>
      </c>
      <c r="E34" s="66">
        <f>C34</f>
        <v>172300</v>
      </c>
      <c r="F34" s="242">
        <v>27.528430179918743</v>
      </c>
      <c r="G34" s="66">
        <f>E34*F34</f>
        <v>4743148.5199999996</v>
      </c>
      <c r="H34" s="271"/>
    </row>
    <row r="35" spans="1:9" s="56" customFormat="1" x14ac:dyDescent="0.3">
      <c r="A35" s="292"/>
      <c r="B35" s="231">
        <v>2024</v>
      </c>
      <c r="C35" s="191"/>
      <c r="D35" s="191"/>
      <c r="E35" s="191"/>
      <c r="F35" s="192"/>
      <c r="G35" s="191"/>
      <c r="H35" s="191"/>
      <c r="I35" s="58"/>
    </row>
    <row r="36" spans="1:9" s="56" customFormat="1" ht="15" customHeight="1" x14ac:dyDescent="0.3">
      <c r="A36" s="292"/>
      <c r="B36" s="202" t="s">
        <v>329</v>
      </c>
      <c r="C36" s="204">
        <v>500000</v>
      </c>
      <c r="D36" s="63">
        <v>0</v>
      </c>
      <c r="E36" s="63">
        <v>500000</v>
      </c>
      <c r="F36" s="241">
        <v>23.5596</v>
      </c>
      <c r="G36" s="63">
        <f t="shared" ref="G36:G48" si="8">E36*F36</f>
        <v>11779800</v>
      </c>
      <c r="H36" s="191"/>
      <c r="I36" s="58"/>
    </row>
    <row r="37" spans="1:9" s="56" customFormat="1" ht="15" customHeight="1" x14ac:dyDescent="0.3">
      <c r="A37" s="292"/>
      <c r="B37" s="202" t="s">
        <v>328</v>
      </c>
      <c r="C37" s="204">
        <v>500000</v>
      </c>
      <c r="D37" s="63">
        <v>0</v>
      </c>
      <c r="E37" s="63">
        <v>500000</v>
      </c>
      <c r="F37" s="241">
        <v>23.988700000000001</v>
      </c>
      <c r="G37" s="63">
        <f t="shared" si="8"/>
        <v>11994350</v>
      </c>
      <c r="H37" s="191"/>
      <c r="I37" s="58"/>
    </row>
    <row r="38" spans="1:9" s="56" customFormat="1" ht="15" customHeight="1" x14ac:dyDescent="0.3">
      <c r="A38" s="292"/>
      <c r="B38" s="202" t="s">
        <v>327</v>
      </c>
      <c r="C38" s="204">
        <v>1218911</v>
      </c>
      <c r="D38" s="63">
        <v>0</v>
      </c>
      <c r="E38" s="63">
        <v>1218911</v>
      </c>
      <c r="F38" s="241">
        <v>23.895800000000001</v>
      </c>
      <c r="G38" s="63">
        <f t="shared" si="8"/>
        <v>29126853.4738</v>
      </c>
      <c r="H38" s="191"/>
      <c r="I38" s="58"/>
    </row>
    <row r="39" spans="1:9" s="56" customFormat="1" ht="15" customHeight="1" x14ac:dyDescent="0.3">
      <c r="A39" s="292"/>
      <c r="B39" s="202" t="s">
        <v>321</v>
      </c>
      <c r="C39" s="204">
        <v>2224103</v>
      </c>
      <c r="D39" s="63">
        <v>0</v>
      </c>
      <c r="E39" s="63">
        <f t="shared" ref="E39:E49" si="9">C39</f>
        <v>2224103</v>
      </c>
      <c r="F39" s="241">
        <v>23.433644561380476</v>
      </c>
      <c r="G39" s="63">
        <f t="shared" si="8"/>
        <v>52118839.1699</v>
      </c>
      <c r="H39" s="191"/>
      <c r="I39" s="58"/>
    </row>
    <row r="40" spans="1:9" s="56" customFormat="1" ht="15" customHeight="1" x14ac:dyDescent="0.3">
      <c r="A40" s="292"/>
      <c r="B40" s="202" t="s">
        <v>330</v>
      </c>
      <c r="C40" s="204">
        <v>900000</v>
      </c>
      <c r="D40" s="63">
        <v>0</v>
      </c>
      <c r="E40" s="63">
        <f t="shared" si="9"/>
        <v>900000</v>
      </c>
      <c r="F40" s="241">
        <v>23.892499999999998</v>
      </c>
      <c r="G40" s="63">
        <f t="shared" si="8"/>
        <v>21503250</v>
      </c>
      <c r="H40" s="191"/>
      <c r="I40" s="58"/>
    </row>
    <row r="41" spans="1:9" s="56" customFormat="1" ht="15" customHeight="1" x14ac:dyDescent="0.3">
      <c r="A41" s="292"/>
      <c r="B41" s="202" t="s">
        <v>318</v>
      </c>
      <c r="C41" s="63">
        <v>1007425</v>
      </c>
      <c r="D41" s="63">
        <v>0</v>
      </c>
      <c r="E41" s="63">
        <f t="shared" si="9"/>
        <v>1007425</v>
      </c>
      <c r="F41" s="241">
        <v>19.883537679231704</v>
      </c>
      <c r="G41" s="63">
        <f t="shared" si="8"/>
        <v>20031172.9465</v>
      </c>
      <c r="H41" s="191"/>
      <c r="I41" s="58"/>
    </row>
    <row r="42" spans="1:9" s="56" customFormat="1" ht="15" customHeight="1" x14ac:dyDescent="0.3">
      <c r="A42" s="292"/>
      <c r="B42" s="202" t="s">
        <v>317</v>
      </c>
      <c r="C42" s="63">
        <v>708216</v>
      </c>
      <c r="D42" s="63">
        <v>0</v>
      </c>
      <c r="E42" s="63">
        <f t="shared" si="9"/>
        <v>708216</v>
      </c>
      <c r="F42" s="241">
        <v>19.986705222418017</v>
      </c>
      <c r="G42" s="63">
        <f t="shared" si="8"/>
        <v>14154904.425799998</v>
      </c>
      <c r="H42" s="191"/>
      <c r="I42" s="58"/>
    </row>
    <row r="43" spans="1:9" s="56" customFormat="1" ht="15" customHeight="1" x14ac:dyDescent="0.3">
      <c r="A43" s="292"/>
      <c r="B43" s="202" t="s">
        <v>312</v>
      </c>
      <c r="C43" s="63">
        <v>1306103</v>
      </c>
      <c r="D43" s="63">
        <v>0</v>
      </c>
      <c r="E43" s="63">
        <f t="shared" si="9"/>
        <v>1306103</v>
      </c>
      <c r="F43" s="241">
        <v>20.72974296973516</v>
      </c>
      <c r="G43" s="63">
        <f t="shared" si="8"/>
        <v>27075179.482000001</v>
      </c>
      <c r="H43" s="191"/>
      <c r="I43" s="58"/>
    </row>
    <row r="44" spans="1:9" s="56" customFormat="1" ht="15" customHeight="1" x14ac:dyDescent="0.3">
      <c r="A44" s="292"/>
      <c r="B44" s="202" t="s">
        <v>311</v>
      </c>
      <c r="C44" s="63">
        <v>2280370</v>
      </c>
      <c r="D44" s="63">
        <v>0</v>
      </c>
      <c r="E44" s="63">
        <f t="shared" si="9"/>
        <v>2280370</v>
      </c>
      <c r="F44" s="241">
        <v>19.972414392971313</v>
      </c>
      <c r="G44" s="63">
        <f t="shared" si="8"/>
        <v>45544494.609299995</v>
      </c>
      <c r="H44" s="191"/>
      <c r="I44" s="58"/>
    </row>
    <row r="45" spans="1:9" s="56" customFormat="1" ht="15" customHeight="1" x14ac:dyDescent="0.3">
      <c r="A45" s="292"/>
      <c r="B45" s="202" t="s">
        <v>310</v>
      </c>
      <c r="C45" s="63">
        <v>2280181</v>
      </c>
      <c r="D45" s="63">
        <v>0</v>
      </c>
      <c r="E45" s="63">
        <f t="shared" si="9"/>
        <v>2280181</v>
      </c>
      <c r="F45" s="241">
        <v>19.689473744496599</v>
      </c>
      <c r="G45" s="63">
        <f t="shared" si="8"/>
        <v>44895563.9322</v>
      </c>
      <c r="H45" s="191"/>
      <c r="I45" s="58"/>
    </row>
    <row r="46" spans="1:9" s="56" customFormat="1" ht="15" customHeight="1" x14ac:dyDescent="0.3">
      <c r="A46" s="292"/>
      <c r="B46" s="202" t="s">
        <v>309</v>
      </c>
      <c r="C46" s="63">
        <v>518776</v>
      </c>
      <c r="D46" s="63">
        <v>0</v>
      </c>
      <c r="E46" s="63">
        <f t="shared" si="9"/>
        <v>518776</v>
      </c>
      <c r="F46" s="241">
        <v>20.836432991503077</v>
      </c>
      <c r="G46" s="63">
        <f t="shared" si="8"/>
        <v>10809441.3616</v>
      </c>
      <c r="H46" s="191"/>
      <c r="I46" s="58"/>
    </row>
    <row r="47" spans="1:9" s="56" customFormat="1" ht="15" customHeight="1" x14ac:dyDescent="0.3">
      <c r="A47" s="292"/>
      <c r="B47" s="202" t="s">
        <v>308</v>
      </c>
      <c r="C47" s="63">
        <v>1125000</v>
      </c>
      <c r="D47" s="63">
        <v>0</v>
      </c>
      <c r="E47" s="63">
        <f t="shared" si="9"/>
        <v>1125000</v>
      </c>
      <c r="F47" s="241">
        <v>21.2239</v>
      </c>
      <c r="G47" s="63">
        <f t="shared" si="8"/>
        <v>23876887.5</v>
      </c>
      <c r="H47" s="191"/>
      <c r="I47" s="58"/>
    </row>
    <row r="48" spans="1:9" s="56" customFormat="1" ht="15" customHeight="1" x14ac:dyDescent="0.3">
      <c r="A48" s="292"/>
      <c r="B48" s="202" t="s">
        <v>307</v>
      </c>
      <c r="C48" s="63">
        <v>1125000</v>
      </c>
      <c r="D48" s="63">
        <v>0</v>
      </c>
      <c r="E48" s="63">
        <f t="shared" si="9"/>
        <v>1125000</v>
      </c>
      <c r="F48" s="241">
        <v>21.112200000000001</v>
      </c>
      <c r="G48" s="63">
        <f t="shared" si="8"/>
        <v>23751225</v>
      </c>
      <c r="H48" s="191"/>
      <c r="I48" s="58"/>
    </row>
    <row r="49" spans="1:12" s="56" customFormat="1" ht="15" customHeight="1" x14ac:dyDescent="0.3">
      <c r="A49" s="292"/>
      <c r="B49" s="202" t="s">
        <v>306</v>
      </c>
      <c r="C49" s="63">
        <v>1575000</v>
      </c>
      <c r="D49" s="63">
        <v>0</v>
      </c>
      <c r="E49" s="63">
        <f t="shared" si="9"/>
        <v>1575000</v>
      </c>
      <c r="F49" s="241">
        <v>21.493571428571428</v>
      </c>
      <c r="G49" s="63">
        <f t="shared" ref="G49:G57" si="10">E49*F49</f>
        <v>33852375</v>
      </c>
      <c r="H49" s="191"/>
      <c r="I49" s="164"/>
      <c r="L49" s="201"/>
    </row>
    <row r="50" spans="1:12" s="56" customFormat="1" ht="15" customHeight="1" x14ac:dyDescent="0.3">
      <c r="A50" s="292"/>
      <c r="B50" s="187" t="s">
        <v>302</v>
      </c>
      <c r="C50" s="63">
        <v>1809674</v>
      </c>
      <c r="D50" s="63">
        <v>0</v>
      </c>
      <c r="E50" s="63">
        <f t="shared" ref="E50:E53" si="11">C50</f>
        <v>1809674</v>
      </c>
      <c r="F50" s="241">
        <v>21.778612952609144</v>
      </c>
      <c r="G50" s="63">
        <f t="shared" si="10"/>
        <v>39412189.616400003</v>
      </c>
      <c r="H50" s="119"/>
      <c r="I50" s="58"/>
    </row>
    <row r="51" spans="1:12" s="56" customFormat="1" ht="15" customHeight="1" x14ac:dyDescent="0.3">
      <c r="A51" s="292"/>
      <c r="B51" s="187" t="s">
        <v>301</v>
      </c>
      <c r="C51" s="63">
        <v>2700000</v>
      </c>
      <c r="D51" s="63">
        <v>0</v>
      </c>
      <c r="E51" s="63">
        <f t="shared" si="11"/>
        <v>2700000</v>
      </c>
      <c r="F51" s="241">
        <v>22.014825925925926</v>
      </c>
      <c r="G51" s="63">
        <f t="shared" si="10"/>
        <v>59440030</v>
      </c>
      <c r="H51" s="119"/>
      <c r="I51" s="58"/>
    </row>
    <row r="52" spans="1:12" s="56" customFormat="1" ht="15" customHeight="1" x14ac:dyDescent="0.3">
      <c r="A52" s="292"/>
      <c r="B52" s="187" t="s">
        <v>300</v>
      </c>
      <c r="C52" s="63">
        <v>2103825</v>
      </c>
      <c r="D52" s="63">
        <v>0</v>
      </c>
      <c r="E52" s="63">
        <f t="shared" si="11"/>
        <v>2103825</v>
      </c>
      <c r="F52" s="241">
        <v>22.34731697384526</v>
      </c>
      <c r="G52" s="63">
        <f t="shared" si="10"/>
        <v>47014844.1325</v>
      </c>
      <c r="H52" s="119"/>
      <c r="I52" s="58"/>
    </row>
    <row r="53" spans="1:12" s="56" customFormat="1" ht="15" customHeight="1" x14ac:dyDescent="0.3">
      <c r="A53" s="292"/>
      <c r="B53" s="187" t="s">
        <v>299</v>
      </c>
      <c r="C53" s="63">
        <v>1250000</v>
      </c>
      <c r="D53" s="63">
        <v>0</v>
      </c>
      <c r="E53" s="63">
        <f t="shared" si="11"/>
        <v>1250000</v>
      </c>
      <c r="F53" s="241">
        <v>23.68552</v>
      </c>
      <c r="G53" s="63">
        <f t="shared" si="10"/>
        <v>29606900</v>
      </c>
      <c r="H53" s="119"/>
      <c r="I53" s="58"/>
    </row>
    <row r="54" spans="1:12" s="56" customFormat="1" ht="15" customHeight="1" x14ac:dyDescent="0.3">
      <c r="A54" s="292"/>
      <c r="B54" s="77" t="s">
        <v>291</v>
      </c>
      <c r="C54" s="63">
        <v>1300000</v>
      </c>
      <c r="D54" s="63">
        <v>0</v>
      </c>
      <c r="E54" s="63">
        <f t="shared" ref="E54:E57" si="12">C54</f>
        <v>1300000</v>
      </c>
      <c r="F54" s="241">
        <v>23.765873076923079</v>
      </c>
      <c r="G54" s="63">
        <f t="shared" si="10"/>
        <v>30895635.000000004</v>
      </c>
      <c r="H54" s="119"/>
      <c r="I54" s="58"/>
    </row>
    <row r="55" spans="1:12" s="56" customFormat="1" ht="15" customHeight="1" x14ac:dyDescent="0.3">
      <c r="A55" s="292"/>
      <c r="B55" s="77" t="s">
        <v>290</v>
      </c>
      <c r="C55" s="63">
        <v>1250000</v>
      </c>
      <c r="D55" s="63">
        <v>0</v>
      </c>
      <c r="E55" s="63">
        <f t="shared" si="12"/>
        <v>1250000</v>
      </c>
      <c r="F55" s="241">
        <v>23.98602</v>
      </c>
      <c r="G55" s="63">
        <f t="shared" si="10"/>
        <v>29982525</v>
      </c>
      <c r="H55" s="119"/>
      <c r="I55" s="58"/>
    </row>
    <row r="56" spans="1:12" s="56" customFormat="1" ht="15" customHeight="1" x14ac:dyDescent="0.3">
      <c r="A56" s="292"/>
      <c r="B56" s="77" t="s">
        <v>289</v>
      </c>
      <c r="C56" s="63">
        <v>1250000</v>
      </c>
      <c r="D56" s="63">
        <v>0</v>
      </c>
      <c r="E56" s="63">
        <f t="shared" si="12"/>
        <v>1250000</v>
      </c>
      <c r="F56" s="241">
        <v>24.093019999999999</v>
      </c>
      <c r="G56" s="63">
        <f t="shared" si="10"/>
        <v>30116275</v>
      </c>
      <c r="H56" s="119"/>
      <c r="I56" s="58"/>
    </row>
    <row r="57" spans="1:12" s="56" customFormat="1" ht="15" customHeight="1" x14ac:dyDescent="0.3">
      <c r="A57" s="292"/>
      <c r="B57" s="77" t="s">
        <v>295</v>
      </c>
      <c r="C57" s="63">
        <v>500000</v>
      </c>
      <c r="D57" s="63">
        <v>0</v>
      </c>
      <c r="E57" s="63">
        <f t="shared" si="12"/>
        <v>500000</v>
      </c>
      <c r="F57" s="241">
        <v>23.88475</v>
      </c>
      <c r="G57" s="63">
        <f t="shared" si="10"/>
        <v>11942375</v>
      </c>
      <c r="H57" s="119"/>
      <c r="I57" s="58"/>
    </row>
    <row r="58" spans="1:12" s="56" customFormat="1" ht="14.5" customHeight="1" x14ac:dyDescent="0.3">
      <c r="A58" s="292"/>
      <c r="B58" s="77" t="s">
        <v>280</v>
      </c>
      <c r="C58" s="63">
        <v>427147</v>
      </c>
      <c r="D58" s="63">
        <v>0</v>
      </c>
      <c r="E58" s="63">
        <f t="shared" ref="E58:E61" si="13">C58</f>
        <v>427147</v>
      </c>
      <c r="F58" s="241">
        <v>25.261705613992373</v>
      </c>
      <c r="G58" s="63">
        <f t="shared" ref="G58:G70" si="14">E58*F58</f>
        <v>10790461.767899999</v>
      </c>
      <c r="H58" s="119"/>
      <c r="I58" s="58"/>
    </row>
    <row r="59" spans="1:12" s="56" customFormat="1" x14ac:dyDescent="0.3">
      <c r="A59" s="292"/>
      <c r="B59" s="77" t="s">
        <v>277</v>
      </c>
      <c r="C59" s="63">
        <v>1195109</v>
      </c>
      <c r="D59" s="63">
        <v>0</v>
      </c>
      <c r="E59" s="63">
        <f t="shared" si="13"/>
        <v>1195109</v>
      </c>
      <c r="F59" s="241">
        <v>24.525571565187779</v>
      </c>
      <c r="G59" s="63">
        <f t="shared" si="14"/>
        <v>29310731.307700001</v>
      </c>
      <c r="H59" s="119"/>
      <c r="I59" s="58"/>
    </row>
    <row r="60" spans="1:12" s="56" customFormat="1" x14ac:dyDescent="0.3">
      <c r="A60" s="292"/>
      <c r="B60" s="77" t="s">
        <v>276</v>
      </c>
      <c r="C60" s="63">
        <v>3955008</v>
      </c>
      <c r="D60" s="63">
        <v>0</v>
      </c>
      <c r="E60" s="63">
        <f t="shared" si="13"/>
        <v>3955008</v>
      </c>
      <c r="F60" s="241">
        <v>24.390393798065645</v>
      </c>
      <c r="G60" s="63">
        <f t="shared" si="14"/>
        <v>96464202.594500005</v>
      </c>
      <c r="H60" s="119"/>
      <c r="I60" s="58"/>
    </row>
    <row r="61" spans="1:12" s="56" customFormat="1" x14ac:dyDescent="0.3">
      <c r="A61" s="292"/>
      <c r="B61" s="77" t="s">
        <v>275</v>
      </c>
      <c r="C61" s="63">
        <v>3856436</v>
      </c>
      <c r="D61" s="63">
        <v>0</v>
      </c>
      <c r="E61" s="63">
        <f t="shared" si="13"/>
        <v>3856436</v>
      </c>
      <c r="F61" s="241">
        <v>23.635860191326916</v>
      </c>
      <c r="G61" s="63">
        <f t="shared" si="14"/>
        <v>91150182.132800013</v>
      </c>
      <c r="H61" s="119"/>
      <c r="I61" s="58"/>
    </row>
    <row r="62" spans="1:12" s="56" customFormat="1" ht="14.5" customHeight="1" x14ac:dyDescent="0.3">
      <c r="A62" s="292"/>
      <c r="B62" s="77" t="s">
        <v>286</v>
      </c>
      <c r="C62" s="63">
        <v>2790190</v>
      </c>
      <c r="D62" s="63">
        <v>0</v>
      </c>
      <c r="E62" s="63">
        <f t="shared" ref="E62:E65" si="15">C62</f>
        <v>2790190</v>
      </c>
      <c r="F62" s="241">
        <v>24.126239405380993</v>
      </c>
      <c r="G62" s="63">
        <f t="shared" si="14"/>
        <v>67316791.926499993</v>
      </c>
      <c r="H62" s="175"/>
      <c r="I62" s="58"/>
    </row>
    <row r="63" spans="1:12" s="56" customFormat="1" ht="14.15" customHeight="1" x14ac:dyDescent="0.3">
      <c r="A63" s="292"/>
      <c r="B63" s="77" t="s">
        <v>274</v>
      </c>
      <c r="C63" s="63">
        <v>1865775</v>
      </c>
      <c r="D63" s="63">
        <v>0</v>
      </c>
      <c r="E63" s="63">
        <f t="shared" si="15"/>
        <v>1865775</v>
      </c>
      <c r="F63" s="241">
        <v>24.504876445498518</v>
      </c>
      <c r="G63" s="63">
        <f t="shared" si="14"/>
        <v>45720585.850099996</v>
      </c>
      <c r="H63" s="119"/>
      <c r="I63" s="58"/>
    </row>
    <row r="64" spans="1:12" s="56" customFormat="1" x14ac:dyDescent="0.3">
      <c r="A64" s="292"/>
      <c r="B64" s="77" t="s">
        <v>273</v>
      </c>
      <c r="C64" s="63">
        <v>909203</v>
      </c>
      <c r="D64" s="63">
        <v>0</v>
      </c>
      <c r="E64" s="63">
        <f t="shared" si="15"/>
        <v>909203</v>
      </c>
      <c r="F64" s="241">
        <v>25.738228756834282</v>
      </c>
      <c r="G64" s="63">
        <f t="shared" si="14"/>
        <v>23401274.8004</v>
      </c>
      <c r="H64" s="119"/>
      <c r="I64" s="58"/>
    </row>
    <row r="65" spans="1:11" s="56" customFormat="1" x14ac:dyDescent="0.3">
      <c r="A65" s="292"/>
      <c r="B65" s="77" t="s">
        <v>272</v>
      </c>
      <c r="C65" s="63">
        <v>990911</v>
      </c>
      <c r="D65" s="63">
        <v>0</v>
      </c>
      <c r="E65" s="63">
        <f t="shared" si="15"/>
        <v>990911</v>
      </c>
      <c r="F65" s="241">
        <v>25.597074445333639</v>
      </c>
      <c r="G65" s="63">
        <f t="shared" si="14"/>
        <v>25364422.635700002</v>
      </c>
      <c r="H65" s="119"/>
      <c r="I65" s="58"/>
    </row>
    <row r="66" spans="1:11" s="56" customFormat="1" x14ac:dyDescent="0.3">
      <c r="A66" s="292"/>
      <c r="B66" s="77" t="s">
        <v>287</v>
      </c>
      <c r="C66" s="63">
        <v>857482</v>
      </c>
      <c r="D66" s="63">
        <v>0</v>
      </c>
      <c r="E66" s="63">
        <f t="shared" ref="E66:E70" si="16">C66</f>
        <v>857482</v>
      </c>
      <c r="F66" s="241">
        <v>25.579493896898125</v>
      </c>
      <c r="G66" s="63">
        <f t="shared" si="14"/>
        <v>21933955.585699998</v>
      </c>
      <c r="H66" s="175"/>
      <c r="I66" s="58"/>
    </row>
    <row r="67" spans="1:11" s="56" customFormat="1" ht="14.15" customHeight="1" x14ac:dyDescent="0.3">
      <c r="A67" s="292"/>
      <c r="B67" s="77" t="s">
        <v>269</v>
      </c>
      <c r="C67" s="63">
        <v>1125019</v>
      </c>
      <c r="D67" s="63">
        <v>0</v>
      </c>
      <c r="E67" s="63">
        <f t="shared" si="16"/>
        <v>1125019</v>
      </c>
      <c r="F67" s="241">
        <v>25.024936805511732</v>
      </c>
      <c r="G67" s="63">
        <f t="shared" si="14"/>
        <v>28153529.380000003</v>
      </c>
      <c r="H67" s="119"/>
      <c r="I67" s="58"/>
    </row>
    <row r="68" spans="1:11" s="56" customFormat="1" x14ac:dyDescent="0.3">
      <c r="A68" s="292"/>
      <c r="B68" s="77" t="s">
        <v>268</v>
      </c>
      <c r="C68" s="63">
        <v>1907348</v>
      </c>
      <c r="D68" s="63">
        <v>0</v>
      </c>
      <c r="E68" s="63">
        <f t="shared" si="16"/>
        <v>1907348</v>
      </c>
      <c r="F68" s="241">
        <v>24.30824191495207</v>
      </c>
      <c r="G68" s="63">
        <f t="shared" si="14"/>
        <v>46364276.600000001</v>
      </c>
      <c r="H68" s="119"/>
      <c r="I68" s="58"/>
    </row>
    <row r="69" spans="1:11" s="56" customFormat="1" x14ac:dyDescent="0.3">
      <c r="A69" s="292"/>
      <c r="B69" s="77" t="s">
        <v>267</v>
      </c>
      <c r="C69" s="63">
        <v>1918830</v>
      </c>
      <c r="D69" s="63">
        <v>0</v>
      </c>
      <c r="E69" s="63">
        <f t="shared" si="16"/>
        <v>1918830</v>
      </c>
      <c r="F69" s="241">
        <v>24.764694986007097</v>
      </c>
      <c r="G69" s="63">
        <f t="shared" si="14"/>
        <v>47519239.68</v>
      </c>
      <c r="H69" s="119"/>
      <c r="I69" s="58"/>
    </row>
    <row r="70" spans="1:11" s="56" customFormat="1" x14ac:dyDescent="0.3">
      <c r="A70" s="292"/>
      <c r="B70" s="218" t="s">
        <v>281</v>
      </c>
      <c r="C70" s="66">
        <v>726345</v>
      </c>
      <c r="D70" s="66">
        <v>0</v>
      </c>
      <c r="E70" s="66">
        <f t="shared" si="16"/>
        <v>726345</v>
      </c>
      <c r="F70" s="242">
        <v>25.423573026592049</v>
      </c>
      <c r="G70" s="66">
        <f t="shared" si="14"/>
        <v>18466285.150000002</v>
      </c>
      <c r="H70" s="119"/>
      <c r="I70" s="164"/>
      <c r="J70" s="164"/>
      <c r="K70" s="217"/>
    </row>
    <row r="71" spans="1:11" s="56" customFormat="1" x14ac:dyDescent="0.3">
      <c r="A71" s="292"/>
      <c r="B71" s="231">
        <v>2023</v>
      </c>
      <c r="C71" s="62"/>
      <c r="D71" s="63"/>
      <c r="E71" s="62"/>
      <c r="F71" s="241"/>
      <c r="G71" s="63"/>
      <c r="H71" s="119"/>
      <c r="I71" s="58"/>
    </row>
    <row r="72" spans="1:11" s="56" customFormat="1" ht="14.15" customHeight="1" x14ac:dyDescent="0.3">
      <c r="A72" s="292"/>
      <c r="B72" s="77" t="s">
        <v>257</v>
      </c>
      <c r="C72" s="63">
        <f>870898+72834+800000</f>
        <v>1743732</v>
      </c>
      <c r="D72" s="63">
        <v>0</v>
      </c>
      <c r="E72" s="63">
        <f t="shared" ref="E72:E73" si="17">C72</f>
        <v>1743732</v>
      </c>
      <c r="F72" s="241">
        <v>23.934370552814308</v>
      </c>
      <c r="G72" s="63">
        <f t="shared" ref="G72:G83" si="18">E72*F72</f>
        <v>41735127.832800001</v>
      </c>
      <c r="H72" s="119"/>
      <c r="I72" s="58"/>
    </row>
    <row r="73" spans="1:11" s="56" customFormat="1" ht="14.15" customHeight="1" x14ac:dyDescent="0.3">
      <c r="A73" s="292"/>
      <c r="B73" s="77" t="s">
        <v>265</v>
      </c>
      <c r="C73" s="63">
        <f>590651+800000+129309+18067</f>
        <v>1538027</v>
      </c>
      <c r="D73" s="63">
        <v>0</v>
      </c>
      <c r="E73" s="63">
        <f t="shared" si="17"/>
        <v>1538027</v>
      </c>
      <c r="F73" s="241">
        <v>23.541995784209249</v>
      </c>
      <c r="G73" s="63">
        <f t="shared" si="18"/>
        <v>36208225.149999999</v>
      </c>
      <c r="H73" s="119"/>
      <c r="I73" s="58"/>
    </row>
    <row r="74" spans="1:11" s="56" customFormat="1" ht="14.15" customHeight="1" x14ac:dyDescent="0.3">
      <c r="A74" s="292"/>
      <c r="B74" s="77" t="s">
        <v>264</v>
      </c>
      <c r="C74" s="63">
        <f>4049707+500000</f>
        <v>4549707</v>
      </c>
      <c r="D74" s="63">
        <v>0</v>
      </c>
      <c r="E74" s="63">
        <f t="shared" ref="E74:E76" si="19">C74</f>
        <v>4549707</v>
      </c>
      <c r="F74" s="241">
        <v>22.838466192438325</v>
      </c>
      <c r="G74" s="63">
        <f t="shared" si="18"/>
        <v>103908329.505</v>
      </c>
      <c r="H74" s="119"/>
      <c r="I74" s="58"/>
    </row>
    <row r="75" spans="1:11" s="56" customFormat="1" ht="14.15" customHeight="1" x14ac:dyDescent="0.3">
      <c r="A75" s="292"/>
      <c r="B75" s="77" t="s">
        <v>255</v>
      </c>
      <c r="C75" s="63">
        <f>1220300+1228300+1214200+807882+890997</f>
        <v>5361679</v>
      </c>
      <c r="D75" s="63">
        <v>0</v>
      </c>
      <c r="E75" s="63">
        <f t="shared" si="19"/>
        <v>5361679</v>
      </c>
      <c r="F75" s="241">
        <v>22.176055489465146</v>
      </c>
      <c r="G75" s="63">
        <f t="shared" si="18"/>
        <v>118900891.02069999</v>
      </c>
      <c r="H75" s="119"/>
      <c r="I75" s="58"/>
    </row>
    <row r="76" spans="1:11" s="56" customFormat="1" ht="14.15" customHeight="1" x14ac:dyDescent="0.3">
      <c r="A76" s="292"/>
      <c r="B76" s="77" t="s">
        <v>254</v>
      </c>
      <c r="C76" s="63">
        <f>1160000+1170000+1200000+1220000+1220000</f>
        <v>5970000</v>
      </c>
      <c r="D76" s="63">
        <v>0</v>
      </c>
      <c r="E76" s="63">
        <f t="shared" si="19"/>
        <v>5970000</v>
      </c>
      <c r="F76" s="241">
        <v>21.395930485762143</v>
      </c>
      <c r="G76" s="63">
        <f t="shared" si="18"/>
        <v>127733705</v>
      </c>
      <c r="H76" s="119"/>
      <c r="I76" s="58"/>
    </row>
    <row r="77" spans="1:11" s="56" customFormat="1" ht="14.15" customHeight="1" x14ac:dyDescent="0.3">
      <c r="A77" s="292"/>
      <c r="B77" s="77" t="s">
        <v>253</v>
      </c>
      <c r="C77" s="63">
        <v>200000</v>
      </c>
      <c r="D77" s="63">
        <v>0</v>
      </c>
      <c r="E77" s="63">
        <f t="shared" ref="E77:E83" si="20">C77</f>
        <v>200000</v>
      </c>
      <c r="F77" s="241">
        <v>24.78</v>
      </c>
      <c r="G77" s="63">
        <f t="shared" si="18"/>
        <v>4956000</v>
      </c>
      <c r="H77" s="119"/>
      <c r="I77" s="58"/>
    </row>
    <row r="78" spans="1:11" s="56" customFormat="1" x14ac:dyDescent="0.3">
      <c r="A78" s="292"/>
      <c r="B78" s="53" t="s">
        <v>251</v>
      </c>
      <c r="C78" s="63">
        <v>1000000</v>
      </c>
      <c r="D78" s="63">
        <v>0</v>
      </c>
      <c r="E78" s="63">
        <f t="shared" si="20"/>
        <v>1000000</v>
      </c>
      <c r="F78" s="241">
        <v>24.63</v>
      </c>
      <c r="G78" s="63">
        <f t="shared" si="18"/>
        <v>24630000</v>
      </c>
      <c r="H78" s="119"/>
      <c r="I78" s="58"/>
    </row>
    <row r="79" spans="1:11" s="56" customFormat="1" x14ac:dyDescent="0.3">
      <c r="A79" s="292"/>
      <c r="B79" s="53" t="s">
        <v>252</v>
      </c>
      <c r="C79" s="142">
        <v>200000</v>
      </c>
      <c r="D79" s="142">
        <v>0</v>
      </c>
      <c r="E79" s="142">
        <f t="shared" si="20"/>
        <v>200000</v>
      </c>
      <c r="F79" s="243">
        <v>25.01</v>
      </c>
      <c r="G79" s="142">
        <f t="shared" si="18"/>
        <v>5002000</v>
      </c>
      <c r="H79" s="119"/>
      <c r="I79" s="58"/>
    </row>
    <row r="80" spans="1:11" s="56" customFormat="1" ht="14.15" customHeight="1" x14ac:dyDescent="0.3">
      <c r="A80" s="292"/>
      <c r="B80" s="53" t="s">
        <v>235</v>
      </c>
      <c r="C80" s="63">
        <v>2467205</v>
      </c>
      <c r="D80" s="63">
        <v>0</v>
      </c>
      <c r="E80" s="63">
        <f t="shared" si="20"/>
        <v>2467205</v>
      </c>
      <c r="F80" s="241">
        <v>23.59</v>
      </c>
      <c r="G80" s="63">
        <f t="shared" si="18"/>
        <v>58201365.950000003</v>
      </c>
      <c r="H80" s="119"/>
      <c r="I80" s="58"/>
    </row>
    <row r="81" spans="1:11" s="56" customFormat="1" x14ac:dyDescent="0.3">
      <c r="A81" s="292"/>
      <c r="B81" s="53" t="s">
        <v>226</v>
      </c>
      <c r="C81" s="63">
        <v>779362</v>
      </c>
      <c r="D81" s="63">
        <v>0</v>
      </c>
      <c r="E81" s="63">
        <f t="shared" si="20"/>
        <v>779362</v>
      </c>
      <c r="F81" s="241">
        <v>23.93</v>
      </c>
      <c r="G81" s="63">
        <f t="shared" si="18"/>
        <v>18650132.66</v>
      </c>
      <c r="H81" s="119"/>
      <c r="I81" s="164"/>
    </row>
    <row r="82" spans="1:11" s="56" customFormat="1" x14ac:dyDescent="0.3">
      <c r="A82" s="292"/>
      <c r="B82" s="53" t="s">
        <v>225</v>
      </c>
      <c r="C82" s="63">
        <v>133663</v>
      </c>
      <c r="D82" s="63">
        <v>0</v>
      </c>
      <c r="E82" s="63">
        <f t="shared" si="20"/>
        <v>133663</v>
      </c>
      <c r="F82" s="241">
        <v>23.79</v>
      </c>
      <c r="G82" s="63">
        <f t="shared" si="18"/>
        <v>3179842.77</v>
      </c>
      <c r="H82" s="119"/>
      <c r="I82" s="58"/>
    </row>
    <row r="83" spans="1:11" s="56" customFormat="1" x14ac:dyDescent="0.3">
      <c r="A83" s="293"/>
      <c r="B83" s="53" t="s">
        <v>224</v>
      </c>
      <c r="C83" s="142">
        <v>2307679</v>
      </c>
      <c r="D83" s="142">
        <v>0</v>
      </c>
      <c r="E83" s="142">
        <f t="shared" si="20"/>
        <v>2307679</v>
      </c>
      <c r="F83" s="243">
        <v>24.92</v>
      </c>
      <c r="G83" s="142">
        <f t="shared" si="18"/>
        <v>57507360.680000007</v>
      </c>
      <c r="H83" s="119"/>
      <c r="I83" s="165"/>
      <c r="K83" s="166"/>
    </row>
    <row r="84" spans="1:11" s="56" customFormat="1" x14ac:dyDescent="0.3">
      <c r="A84" s="117"/>
      <c r="B84" s="52"/>
      <c r="C84" s="62"/>
      <c r="D84" s="63"/>
      <c r="E84" s="62"/>
      <c r="F84" s="241"/>
      <c r="G84" s="63"/>
      <c r="H84" s="119"/>
      <c r="I84" s="58"/>
    </row>
    <row r="85" spans="1:11" s="56" customFormat="1" ht="15" customHeight="1" x14ac:dyDescent="0.3">
      <c r="A85" s="294" t="s">
        <v>213</v>
      </c>
      <c r="B85" s="53" t="s">
        <v>212</v>
      </c>
      <c r="C85" s="63">
        <v>6441601</v>
      </c>
      <c r="D85" s="63">
        <v>0</v>
      </c>
      <c r="E85" s="63">
        <f t="shared" ref="E85:E90" si="21">+C85</f>
        <v>6441601</v>
      </c>
      <c r="F85" s="241">
        <v>27.012</v>
      </c>
      <c r="G85" s="63">
        <f t="shared" ref="G85:G90" si="22">E85*F85</f>
        <v>174000526.21200001</v>
      </c>
      <c r="H85" s="119"/>
      <c r="I85" s="58"/>
    </row>
    <row r="86" spans="1:11" s="56" customFormat="1" x14ac:dyDescent="0.3">
      <c r="A86" s="295"/>
      <c r="B86" s="53" t="s">
        <v>211</v>
      </c>
      <c r="C86" s="63">
        <v>3823988</v>
      </c>
      <c r="D86" s="63">
        <v>0</v>
      </c>
      <c r="E86" s="63">
        <f t="shared" si="21"/>
        <v>3823988</v>
      </c>
      <c r="F86" s="241">
        <v>25.988499999999998</v>
      </c>
      <c r="G86" s="63">
        <f t="shared" si="22"/>
        <v>99379712.137999997</v>
      </c>
      <c r="H86" s="119"/>
      <c r="I86" s="58"/>
    </row>
    <row r="87" spans="1:11" s="56" customFormat="1" ht="15" customHeight="1" x14ac:dyDescent="0.3">
      <c r="A87" s="295"/>
      <c r="B87" s="53" t="s">
        <v>208</v>
      </c>
      <c r="C87" s="63">
        <v>3747359</v>
      </c>
      <c r="D87" s="63">
        <v>0</v>
      </c>
      <c r="E87" s="63">
        <f t="shared" si="21"/>
        <v>3747359</v>
      </c>
      <c r="F87" s="241">
        <v>26.253900000000002</v>
      </c>
      <c r="G87" s="63">
        <f t="shared" si="22"/>
        <v>98382788.450100005</v>
      </c>
      <c r="H87" s="119"/>
      <c r="I87" s="58"/>
    </row>
    <row r="88" spans="1:11" s="56" customFormat="1" x14ac:dyDescent="0.3">
      <c r="A88" s="295"/>
      <c r="B88" s="53" t="s">
        <v>207</v>
      </c>
      <c r="C88" s="63">
        <v>1626773</v>
      </c>
      <c r="D88" s="63">
        <v>0</v>
      </c>
      <c r="E88" s="63">
        <f t="shared" si="21"/>
        <v>1626773</v>
      </c>
      <c r="F88" s="241">
        <v>29.457999999999998</v>
      </c>
      <c r="G88" s="63">
        <f t="shared" si="22"/>
        <v>47921479.033999994</v>
      </c>
      <c r="H88" s="119"/>
      <c r="I88" s="58"/>
    </row>
    <row r="89" spans="1:11" s="56" customFormat="1" x14ac:dyDescent="0.3">
      <c r="A89" s="295"/>
      <c r="B89" s="53" t="s">
        <v>206</v>
      </c>
      <c r="C89" s="63">
        <v>510652</v>
      </c>
      <c r="D89" s="63">
        <v>0</v>
      </c>
      <c r="E89" s="63">
        <f t="shared" si="21"/>
        <v>510652</v>
      </c>
      <c r="F89" s="241">
        <v>28.709199999999999</v>
      </c>
      <c r="G89" s="63">
        <f t="shared" si="22"/>
        <v>14660410.398399999</v>
      </c>
      <c r="H89" s="119"/>
      <c r="I89" s="58"/>
    </row>
    <row r="90" spans="1:11" s="56" customFormat="1" x14ac:dyDescent="0.3">
      <c r="A90" s="295"/>
      <c r="B90" s="53" t="s">
        <v>205</v>
      </c>
      <c r="C90" s="63">
        <v>2224568</v>
      </c>
      <c r="D90" s="63">
        <v>0</v>
      </c>
      <c r="E90" s="63">
        <f t="shared" si="21"/>
        <v>2224568</v>
      </c>
      <c r="F90" s="241">
        <v>28.060500000000001</v>
      </c>
      <c r="G90" s="63">
        <f t="shared" si="22"/>
        <v>62422490.364</v>
      </c>
      <c r="H90" s="119"/>
      <c r="I90" s="58"/>
    </row>
    <row r="91" spans="1:11" s="56" customFormat="1" x14ac:dyDescent="0.3">
      <c r="A91" s="295"/>
      <c r="B91" s="118" t="s">
        <v>204</v>
      </c>
      <c r="C91" s="66">
        <v>730000</v>
      </c>
      <c r="D91" s="66">
        <v>0</v>
      </c>
      <c r="E91" s="66">
        <f t="shared" ref="E91:E96" si="23">+C91</f>
        <v>730000</v>
      </c>
      <c r="F91" s="242">
        <v>27.42</v>
      </c>
      <c r="G91" s="66">
        <f>E91*F91</f>
        <v>20016600</v>
      </c>
      <c r="H91" s="119"/>
      <c r="I91" s="58"/>
    </row>
    <row r="92" spans="1:11" ht="15" customHeight="1" x14ac:dyDescent="0.3">
      <c r="A92" s="295"/>
      <c r="B92" s="53" t="s">
        <v>203</v>
      </c>
      <c r="C92" s="62">
        <v>2017708</v>
      </c>
      <c r="D92" s="63">
        <v>0</v>
      </c>
      <c r="E92" s="62">
        <f t="shared" si="23"/>
        <v>2017708</v>
      </c>
      <c r="F92" s="241">
        <v>22.59</v>
      </c>
      <c r="G92" s="63">
        <f t="shared" ref="G92:G96" si="24">E92*F92</f>
        <v>45580023.719999999</v>
      </c>
      <c r="H92" s="59"/>
      <c r="I92" s="59"/>
    </row>
    <row r="93" spans="1:11" ht="15" customHeight="1" x14ac:dyDescent="0.3">
      <c r="A93" s="295"/>
      <c r="B93" s="53" t="s">
        <v>195</v>
      </c>
      <c r="C93" s="62">
        <v>1508838</v>
      </c>
      <c r="D93" s="63">
        <v>0</v>
      </c>
      <c r="E93" s="62">
        <f t="shared" si="23"/>
        <v>1508838</v>
      </c>
      <c r="F93" s="241">
        <v>22.85</v>
      </c>
      <c r="G93" s="63">
        <f t="shared" si="24"/>
        <v>34476948.300000004</v>
      </c>
      <c r="H93" s="59"/>
      <c r="I93" s="59"/>
    </row>
    <row r="94" spans="1:11" ht="15" customHeight="1" x14ac:dyDescent="0.3">
      <c r="A94" s="295"/>
      <c r="B94" s="53" t="s">
        <v>194</v>
      </c>
      <c r="C94" s="62">
        <v>2250000</v>
      </c>
      <c r="D94" s="63">
        <v>0</v>
      </c>
      <c r="E94" s="62">
        <f t="shared" si="23"/>
        <v>2250000</v>
      </c>
      <c r="F94" s="241">
        <v>22.36</v>
      </c>
      <c r="G94" s="63">
        <f t="shared" si="24"/>
        <v>50310000</v>
      </c>
      <c r="H94" s="59"/>
      <c r="I94" s="59"/>
    </row>
    <row r="95" spans="1:11" ht="15" customHeight="1" x14ac:dyDescent="0.3">
      <c r="A95" s="295"/>
      <c r="B95" s="53" t="s">
        <v>193</v>
      </c>
      <c r="C95" s="62">
        <v>2250000</v>
      </c>
      <c r="D95" s="63">
        <v>0</v>
      </c>
      <c r="E95" s="62">
        <f t="shared" si="23"/>
        <v>2250000</v>
      </c>
      <c r="F95" s="241">
        <v>21.57</v>
      </c>
      <c r="G95" s="63">
        <f t="shared" si="24"/>
        <v>48532500</v>
      </c>
      <c r="H95" s="59"/>
      <c r="I95" s="59"/>
    </row>
    <row r="96" spans="1:11" ht="15" customHeight="1" x14ac:dyDescent="0.3">
      <c r="A96" s="295"/>
      <c r="B96" s="225" t="s">
        <v>192</v>
      </c>
      <c r="C96" s="62">
        <v>2250000</v>
      </c>
      <c r="D96" s="142">
        <v>0</v>
      </c>
      <c r="E96" s="62">
        <f t="shared" si="23"/>
        <v>2250000</v>
      </c>
      <c r="F96" s="243">
        <v>21.32</v>
      </c>
      <c r="G96" s="142">
        <f t="shared" si="24"/>
        <v>47970000</v>
      </c>
      <c r="H96" s="59"/>
      <c r="I96" s="59"/>
    </row>
    <row r="97" spans="1:9" ht="15" customHeight="1" x14ac:dyDescent="0.3">
      <c r="A97" s="295"/>
      <c r="B97" s="53" t="s">
        <v>8</v>
      </c>
      <c r="C97" s="62">
        <v>5850000</v>
      </c>
      <c r="D97" s="63">
        <v>0</v>
      </c>
      <c r="E97" s="62">
        <f t="shared" ref="E97:E104" si="25">+C97</f>
        <v>5850000</v>
      </c>
      <c r="F97" s="241">
        <v>20.399999999999999</v>
      </c>
      <c r="G97" s="63">
        <f>E97*F97</f>
        <v>119339999.99999999</v>
      </c>
      <c r="H97" s="59"/>
      <c r="I97" s="59"/>
    </row>
    <row r="98" spans="1:9" ht="15" customHeight="1" x14ac:dyDescent="0.35">
      <c r="A98" s="295"/>
      <c r="B98" s="53" t="s">
        <v>9</v>
      </c>
      <c r="C98" s="62">
        <v>2120000</v>
      </c>
      <c r="D98" s="63">
        <v>0</v>
      </c>
      <c r="E98" s="62">
        <f t="shared" si="25"/>
        <v>2120000</v>
      </c>
      <c r="F98" s="241">
        <v>21.69</v>
      </c>
      <c r="G98" s="63">
        <f t="shared" ref="G98:G105" si="26">E98*F98</f>
        <v>45982800</v>
      </c>
      <c r="H98" s="116"/>
      <c r="I98" s="59"/>
    </row>
    <row r="99" spans="1:9" ht="15" customHeight="1" x14ac:dyDescent="0.3">
      <c r="A99" s="295"/>
      <c r="B99" s="53" t="s">
        <v>10</v>
      </c>
      <c r="C99" s="62">
        <v>1250000</v>
      </c>
      <c r="D99" s="63">
        <v>0</v>
      </c>
      <c r="E99" s="62">
        <f t="shared" si="25"/>
        <v>1250000</v>
      </c>
      <c r="F99" s="241">
        <v>22.12</v>
      </c>
      <c r="G99" s="63">
        <f t="shared" si="26"/>
        <v>27650000</v>
      </c>
      <c r="H99" s="59"/>
      <c r="I99" s="59"/>
    </row>
    <row r="100" spans="1:9" ht="15" customHeight="1" x14ac:dyDescent="0.3">
      <c r="A100" s="295"/>
      <c r="B100" s="53" t="s">
        <v>11</v>
      </c>
      <c r="C100" s="62">
        <v>1149843</v>
      </c>
      <c r="D100" s="63">
        <v>0</v>
      </c>
      <c r="E100" s="62">
        <f t="shared" si="25"/>
        <v>1149843</v>
      </c>
      <c r="F100" s="241">
        <v>22.51</v>
      </c>
      <c r="G100" s="63">
        <f t="shared" si="26"/>
        <v>25882965.930000003</v>
      </c>
      <c r="H100" s="59"/>
      <c r="I100" s="59"/>
    </row>
    <row r="101" spans="1:9" ht="15" customHeight="1" x14ac:dyDescent="0.3">
      <c r="A101" s="295"/>
      <c r="B101" s="53" t="s">
        <v>12</v>
      </c>
      <c r="C101" s="62">
        <v>1732133</v>
      </c>
      <c r="D101" s="63">
        <v>0</v>
      </c>
      <c r="E101" s="62">
        <f t="shared" si="25"/>
        <v>1732133</v>
      </c>
      <c r="F101" s="241">
        <v>24</v>
      </c>
      <c r="G101" s="63">
        <f t="shared" si="26"/>
        <v>41571192</v>
      </c>
      <c r="H101" s="64"/>
      <c r="I101" s="59"/>
    </row>
    <row r="102" spans="1:9" ht="15" customHeight="1" x14ac:dyDescent="0.3">
      <c r="A102" s="295"/>
      <c r="B102" s="53" t="s">
        <v>13</v>
      </c>
      <c r="C102" s="62">
        <v>5103527</v>
      </c>
      <c r="D102" s="63">
        <v>0</v>
      </c>
      <c r="E102" s="62">
        <f t="shared" si="25"/>
        <v>5103527</v>
      </c>
      <c r="F102" s="241">
        <v>23.44</v>
      </c>
      <c r="G102" s="63">
        <f t="shared" si="26"/>
        <v>119626672.88000001</v>
      </c>
      <c r="H102" s="64"/>
      <c r="I102" s="59"/>
    </row>
    <row r="103" spans="1:9" x14ac:dyDescent="0.3">
      <c r="A103" s="295"/>
      <c r="B103" s="53" t="s">
        <v>14</v>
      </c>
      <c r="C103" s="62">
        <v>4232831</v>
      </c>
      <c r="D103" s="63">
        <v>0</v>
      </c>
      <c r="E103" s="103">
        <f t="shared" si="25"/>
        <v>4232831</v>
      </c>
      <c r="F103" s="241">
        <v>24.3</v>
      </c>
      <c r="G103" s="63">
        <f t="shared" si="26"/>
        <v>102857793.3</v>
      </c>
      <c r="H103" s="55"/>
      <c r="I103" s="59"/>
    </row>
    <row r="104" spans="1:9" x14ac:dyDescent="0.3">
      <c r="A104" s="295"/>
      <c r="B104" s="53" t="s">
        <v>15</v>
      </c>
      <c r="C104" s="62">
        <v>3565272</v>
      </c>
      <c r="D104" s="63">
        <v>0</v>
      </c>
      <c r="E104" s="62">
        <f t="shared" si="25"/>
        <v>3565272</v>
      </c>
      <c r="F104" s="241">
        <v>24.42</v>
      </c>
      <c r="G104" s="63">
        <f t="shared" si="26"/>
        <v>87063942.24000001</v>
      </c>
      <c r="H104" s="55"/>
      <c r="I104" s="59"/>
    </row>
    <row r="105" spans="1:9" x14ac:dyDescent="0.3">
      <c r="A105" s="296"/>
      <c r="B105" s="53" t="s">
        <v>16</v>
      </c>
      <c r="C105" s="62">
        <v>6046287</v>
      </c>
      <c r="D105" s="63">
        <v>0</v>
      </c>
      <c r="E105" s="62">
        <f>+C105</f>
        <v>6046287</v>
      </c>
      <c r="F105" s="241">
        <v>23.59</v>
      </c>
      <c r="G105" s="63">
        <f t="shared" si="26"/>
        <v>142631910.33000001</v>
      </c>
      <c r="H105" s="65"/>
      <c r="I105" s="55"/>
    </row>
    <row r="106" spans="1:9" x14ac:dyDescent="0.3">
      <c r="A106" s="117"/>
      <c r="C106" s="62"/>
      <c r="D106" s="63"/>
      <c r="E106" s="62"/>
      <c r="G106" s="63"/>
      <c r="H106" s="65"/>
      <c r="I106" s="55"/>
    </row>
    <row r="107" spans="1:9" ht="14.5" customHeight="1" x14ac:dyDescent="0.3">
      <c r="A107" s="294" t="s">
        <v>17</v>
      </c>
      <c r="B107" s="52" t="s">
        <v>18</v>
      </c>
      <c r="C107" s="62">
        <v>2373805</v>
      </c>
      <c r="D107" s="63">
        <v>0</v>
      </c>
      <c r="E107" s="62">
        <f>+C107</f>
        <v>2373805</v>
      </c>
      <c r="F107" s="241">
        <v>30.3462</v>
      </c>
      <c r="G107" s="63">
        <f>E107*F107</f>
        <v>72035961.290999994</v>
      </c>
      <c r="H107" s="64"/>
      <c r="I107" s="59"/>
    </row>
    <row r="108" spans="1:9" ht="14.5" customHeight="1" x14ac:dyDescent="0.3">
      <c r="A108" s="295"/>
      <c r="B108" s="52" t="s">
        <v>19</v>
      </c>
      <c r="C108" s="62">
        <v>7364640</v>
      </c>
      <c r="D108" s="63">
        <v>0</v>
      </c>
      <c r="E108" s="62">
        <f>+C108</f>
        <v>7364640</v>
      </c>
      <c r="F108" s="241">
        <v>30.1921</v>
      </c>
      <c r="G108" s="63">
        <f>E108*F108</f>
        <v>222353947.34400001</v>
      </c>
      <c r="H108" s="64"/>
      <c r="I108" s="59"/>
    </row>
    <row r="109" spans="1:9" x14ac:dyDescent="0.3">
      <c r="A109" s="295"/>
      <c r="B109" s="52" t="s">
        <v>20</v>
      </c>
      <c r="C109" s="62">
        <v>6717395</v>
      </c>
      <c r="D109" s="63">
        <v>0</v>
      </c>
      <c r="E109" s="62">
        <v>6717395</v>
      </c>
      <c r="F109" s="241">
        <v>28.924900000000001</v>
      </c>
      <c r="G109" s="63">
        <f>E109*F109</f>
        <v>194299978.63550001</v>
      </c>
      <c r="H109" s="55"/>
      <c r="I109" s="59"/>
    </row>
    <row r="110" spans="1:9" x14ac:dyDescent="0.3">
      <c r="A110" s="295"/>
      <c r="B110" s="52" t="s">
        <v>21</v>
      </c>
      <c r="C110" s="62">
        <v>8400000</v>
      </c>
      <c r="D110" s="63">
        <v>0</v>
      </c>
      <c r="E110" s="62">
        <v>8400000</v>
      </c>
      <c r="F110" s="241">
        <v>27.4742</v>
      </c>
      <c r="G110" s="63">
        <f>E110*F110</f>
        <v>230783280</v>
      </c>
      <c r="H110" s="55"/>
      <c r="I110" s="59"/>
    </row>
    <row r="111" spans="1:9" x14ac:dyDescent="0.3">
      <c r="A111" s="296"/>
      <c r="B111" s="52" t="s">
        <v>22</v>
      </c>
      <c r="C111" s="62">
        <v>8493757</v>
      </c>
      <c r="D111" s="63">
        <v>0</v>
      </c>
      <c r="E111" s="62">
        <v>8493757</v>
      </c>
      <c r="F111" s="241">
        <v>26.2669</v>
      </c>
      <c r="G111" s="63">
        <f>E111*F111</f>
        <v>223104665.74329999</v>
      </c>
      <c r="H111" s="65"/>
      <c r="I111" s="55"/>
    </row>
    <row r="112" spans="1:9" x14ac:dyDescent="0.3">
      <c r="B112" s="59"/>
      <c r="C112" s="60"/>
      <c r="D112" s="60"/>
      <c r="E112" s="61"/>
      <c r="F112" s="244"/>
      <c r="G112" s="61"/>
      <c r="H112" s="55"/>
      <c r="I112" s="59"/>
    </row>
    <row r="113" spans="1:9" ht="15" customHeight="1" x14ac:dyDescent="0.3">
      <c r="A113" s="294" t="s">
        <v>23</v>
      </c>
      <c r="B113" s="52" t="s">
        <v>24</v>
      </c>
      <c r="C113" s="63">
        <v>366664</v>
      </c>
      <c r="D113" s="63">
        <v>0</v>
      </c>
      <c r="E113" s="63">
        <v>366664</v>
      </c>
      <c r="F113" s="241">
        <v>27.45</v>
      </c>
      <c r="G113" s="63">
        <f>E113*F113</f>
        <v>10064926.799999999</v>
      </c>
      <c r="H113" s="55"/>
      <c r="I113" s="59"/>
    </row>
    <row r="114" spans="1:9" x14ac:dyDescent="0.3">
      <c r="A114" s="295"/>
      <c r="B114" s="52" t="s">
        <v>25</v>
      </c>
      <c r="C114" s="63">
        <v>3634500</v>
      </c>
      <c r="D114" s="63">
        <v>0</v>
      </c>
      <c r="E114" s="63">
        <v>3634500</v>
      </c>
      <c r="F114" s="241">
        <v>30.46</v>
      </c>
      <c r="G114" s="63">
        <f>E114*F114</f>
        <v>110706870</v>
      </c>
      <c r="H114" s="55"/>
      <c r="I114" s="59"/>
    </row>
    <row r="115" spans="1:9" x14ac:dyDescent="0.3">
      <c r="A115" s="295"/>
      <c r="B115" s="52" t="s">
        <v>26</v>
      </c>
      <c r="C115" s="63">
        <v>3755000</v>
      </c>
      <c r="D115" s="63">
        <v>0</v>
      </c>
      <c r="E115" s="63">
        <v>3755000</v>
      </c>
      <c r="F115" s="241">
        <v>29.4</v>
      </c>
      <c r="G115" s="63">
        <f>E115*F115</f>
        <v>110397000</v>
      </c>
      <c r="H115" s="55"/>
      <c r="I115" s="59"/>
    </row>
    <row r="116" spans="1:9" x14ac:dyDescent="0.3">
      <c r="A116" s="295"/>
      <c r="B116" s="52" t="s">
        <v>27</v>
      </c>
      <c r="C116" s="63">
        <v>4809000</v>
      </c>
      <c r="D116" s="63">
        <v>0</v>
      </c>
      <c r="E116" s="63">
        <v>4809000</v>
      </c>
      <c r="F116" s="241">
        <v>28.51</v>
      </c>
      <c r="G116" s="63">
        <f t="shared" ref="G116:G124" si="27">E116*F116</f>
        <v>137104590</v>
      </c>
      <c r="H116" s="55"/>
      <c r="I116" s="55"/>
    </row>
    <row r="117" spans="1:9" x14ac:dyDescent="0.3">
      <c r="A117" s="295"/>
      <c r="B117" s="226" t="s">
        <v>28</v>
      </c>
      <c r="C117" s="142">
        <v>921000</v>
      </c>
      <c r="D117" s="142">
        <v>0</v>
      </c>
      <c r="E117" s="142">
        <v>921000</v>
      </c>
      <c r="F117" s="243">
        <v>29.4</v>
      </c>
      <c r="G117" s="142">
        <f t="shared" si="27"/>
        <v>27077400</v>
      </c>
      <c r="H117" s="55"/>
      <c r="I117" s="55"/>
    </row>
    <row r="118" spans="1:9" x14ac:dyDescent="0.3">
      <c r="A118" s="295"/>
      <c r="B118" s="227" t="s">
        <v>29</v>
      </c>
      <c r="C118" s="142">
        <v>4101298</v>
      </c>
      <c r="D118" s="142">
        <v>0</v>
      </c>
      <c r="E118" s="142">
        <v>4101298</v>
      </c>
      <c r="F118" s="243">
        <v>29.867799999999999</v>
      </c>
      <c r="G118" s="142">
        <f t="shared" si="27"/>
        <v>122496748.40439999</v>
      </c>
      <c r="H118" s="55"/>
      <c r="I118" s="55"/>
    </row>
    <row r="119" spans="1:9" x14ac:dyDescent="0.3">
      <c r="A119" s="295"/>
      <c r="B119" s="52" t="s">
        <v>30</v>
      </c>
      <c r="C119" s="63">
        <v>1440438</v>
      </c>
      <c r="D119" s="63">
        <v>0</v>
      </c>
      <c r="E119" s="63">
        <v>1440438</v>
      </c>
      <c r="F119" s="241">
        <v>29.722000000000001</v>
      </c>
      <c r="G119" s="63">
        <f t="shared" si="27"/>
        <v>42812698.236000001</v>
      </c>
      <c r="H119" s="55"/>
      <c r="I119" s="55"/>
    </row>
    <row r="120" spans="1:9" x14ac:dyDescent="0.3">
      <c r="A120" s="295"/>
      <c r="B120" s="52" t="s">
        <v>31</v>
      </c>
      <c r="C120" s="63">
        <v>4743883</v>
      </c>
      <c r="D120" s="63">
        <v>0</v>
      </c>
      <c r="E120" s="63">
        <v>4743883</v>
      </c>
      <c r="F120" s="241">
        <v>28.095500000000001</v>
      </c>
      <c r="G120" s="63">
        <f t="shared" si="27"/>
        <v>133281764.8265</v>
      </c>
      <c r="H120" s="55"/>
      <c r="I120" s="55"/>
    </row>
    <row r="121" spans="1:9" x14ac:dyDescent="0.3">
      <c r="A121" s="295"/>
      <c r="B121" s="52" t="s">
        <v>32</v>
      </c>
      <c r="C121" s="63">
        <v>4720000</v>
      </c>
      <c r="D121" s="63">
        <v>0</v>
      </c>
      <c r="E121" s="63">
        <v>4720000</v>
      </c>
      <c r="F121" s="241">
        <v>26.759499999999999</v>
      </c>
      <c r="G121" s="63">
        <f t="shared" si="27"/>
        <v>126304840</v>
      </c>
      <c r="H121" s="55"/>
      <c r="I121" s="55"/>
    </row>
    <row r="122" spans="1:9" x14ac:dyDescent="0.3">
      <c r="A122" s="295"/>
      <c r="B122" s="52" t="s">
        <v>33</v>
      </c>
      <c r="C122" s="63">
        <v>1490000</v>
      </c>
      <c r="D122" s="63">
        <v>0</v>
      </c>
      <c r="E122" s="63">
        <v>1490000</v>
      </c>
      <c r="F122" s="241">
        <v>28.518799999999999</v>
      </c>
      <c r="G122" s="63">
        <f t="shared" si="27"/>
        <v>42493012</v>
      </c>
      <c r="H122" s="55"/>
      <c r="I122" s="55"/>
    </row>
    <row r="123" spans="1:9" x14ac:dyDescent="0.3">
      <c r="A123" s="295"/>
      <c r="B123" s="52" t="s">
        <v>34</v>
      </c>
      <c r="C123" s="63">
        <v>400000</v>
      </c>
      <c r="D123" s="63">
        <v>42813</v>
      </c>
      <c r="E123" s="63">
        <v>442813</v>
      </c>
      <c r="F123" s="241">
        <v>27.71</v>
      </c>
      <c r="G123" s="63">
        <f t="shared" si="27"/>
        <v>12270348.23</v>
      </c>
      <c r="H123" s="55"/>
      <c r="I123" s="55"/>
    </row>
    <row r="124" spans="1:9" x14ac:dyDescent="0.3">
      <c r="A124" s="296"/>
      <c r="B124" s="52" t="s">
        <v>35</v>
      </c>
      <c r="C124" s="63">
        <v>845000</v>
      </c>
      <c r="D124" s="63">
        <v>482364</v>
      </c>
      <c r="E124" s="63">
        <v>1327364</v>
      </c>
      <c r="F124" s="241">
        <v>27.26</v>
      </c>
      <c r="G124" s="63">
        <f t="shared" si="27"/>
        <v>36183942.640000001</v>
      </c>
      <c r="H124" s="55"/>
      <c r="I124" s="55"/>
    </row>
    <row r="125" spans="1:9" x14ac:dyDescent="0.3">
      <c r="A125" s="67"/>
      <c r="B125" s="59"/>
      <c r="C125" s="60"/>
      <c r="D125" s="60"/>
      <c r="E125" s="61"/>
      <c r="F125" s="245"/>
      <c r="G125" s="61"/>
      <c r="H125" s="55"/>
      <c r="I125" s="55"/>
    </row>
    <row r="126" spans="1:9" x14ac:dyDescent="0.3">
      <c r="A126" s="294" t="s">
        <v>36</v>
      </c>
      <c r="B126" s="52" t="s">
        <v>37</v>
      </c>
      <c r="C126" s="63">
        <v>2818608</v>
      </c>
      <c r="D126" s="63">
        <v>1608989</v>
      </c>
      <c r="E126" s="63">
        <v>4427597</v>
      </c>
      <c r="F126" s="241">
        <v>27.07</v>
      </c>
      <c r="G126" s="63">
        <f t="shared" ref="G126:G132" si="28">E126*F126</f>
        <v>119855050.79000001</v>
      </c>
      <c r="H126" s="55"/>
      <c r="I126" s="55"/>
    </row>
    <row r="127" spans="1:9" x14ac:dyDescent="0.3">
      <c r="A127" s="295"/>
      <c r="B127" s="52" t="s">
        <v>38</v>
      </c>
      <c r="C127" s="63">
        <v>5255000</v>
      </c>
      <c r="D127" s="63">
        <v>2999792</v>
      </c>
      <c r="E127" s="63">
        <v>8254792</v>
      </c>
      <c r="F127" s="241">
        <v>26.21</v>
      </c>
      <c r="G127" s="63">
        <f t="shared" si="28"/>
        <v>216358098.31999999</v>
      </c>
      <c r="H127" s="55"/>
      <c r="I127" s="68"/>
    </row>
    <row r="128" spans="1:9" x14ac:dyDescent="0.3">
      <c r="A128" s="295"/>
      <c r="B128" s="52" t="s">
        <v>39</v>
      </c>
      <c r="C128" s="63">
        <v>5579000</v>
      </c>
      <c r="D128" s="63">
        <v>3184746</v>
      </c>
      <c r="E128" s="63">
        <v>8763746</v>
      </c>
      <c r="F128" s="241">
        <v>24.54</v>
      </c>
      <c r="G128" s="63">
        <f t="shared" si="28"/>
        <v>215062326.84</v>
      </c>
      <c r="H128" s="55"/>
      <c r="I128" s="68"/>
    </row>
    <row r="129" spans="1:9" x14ac:dyDescent="0.3">
      <c r="A129" s="295"/>
      <c r="B129" s="52" t="s">
        <v>40</v>
      </c>
      <c r="C129" s="63">
        <v>5313000</v>
      </c>
      <c r="D129" s="63">
        <v>3032899</v>
      </c>
      <c r="E129" s="63">
        <v>8345899</v>
      </c>
      <c r="F129" s="241">
        <v>25.84</v>
      </c>
      <c r="G129" s="63">
        <f t="shared" si="28"/>
        <v>215658030.16</v>
      </c>
      <c r="H129" s="55"/>
      <c r="I129" s="68"/>
    </row>
    <row r="130" spans="1:9" x14ac:dyDescent="0.3">
      <c r="A130" s="295"/>
      <c r="B130" s="52" t="s">
        <v>41</v>
      </c>
      <c r="C130" s="63">
        <v>1047500</v>
      </c>
      <c r="D130" s="63">
        <v>597960</v>
      </c>
      <c r="E130" s="63">
        <v>1645460</v>
      </c>
      <c r="F130" s="241">
        <v>26.24</v>
      </c>
      <c r="G130" s="63">
        <f t="shared" si="28"/>
        <v>43176870.399999999</v>
      </c>
      <c r="H130" s="55"/>
      <c r="I130" s="68"/>
    </row>
    <row r="131" spans="1:9" x14ac:dyDescent="0.3">
      <c r="A131" s="295"/>
      <c r="B131" s="52" t="s">
        <v>42</v>
      </c>
      <c r="C131" s="63">
        <v>500000</v>
      </c>
      <c r="D131" s="63">
        <v>285423</v>
      </c>
      <c r="E131" s="63">
        <v>785423</v>
      </c>
      <c r="F131" s="241">
        <v>28.62</v>
      </c>
      <c r="G131" s="63">
        <f t="shared" si="28"/>
        <v>22478806.260000002</v>
      </c>
      <c r="H131" s="55"/>
      <c r="I131" s="68"/>
    </row>
    <row r="132" spans="1:9" x14ac:dyDescent="0.3">
      <c r="A132" s="296"/>
      <c r="B132" s="52" t="s">
        <v>43</v>
      </c>
      <c r="C132" s="63">
        <v>1182250</v>
      </c>
      <c r="D132" s="63">
        <v>674882</v>
      </c>
      <c r="E132" s="63">
        <v>1857132</v>
      </c>
      <c r="F132" s="241">
        <v>28.58</v>
      </c>
      <c r="G132" s="63">
        <f t="shared" si="28"/>
        <v>53076832.559999995</v>
      </c>
      <c r="H132" s="55"/>
      <c r="I132" s="68"/>
    </row>
    <row r="133" spans="1:9" x14ac:dyDescent="0.3">
      <c r="C133" s="62"/>
      <c r="D133" s="62"/>
      <c r="E133" s="54"/>
      <c r="F133" s="244"/>
      <c r="G133" s="54"/>
      <c r="H133" s="55"/>
      <c r="I133" s="54"/>
    </row>
    <row r="134" spans="1:9" x14ac:dyDescent="0.3">
      <c r="A134" s="294" t="s">
        <v>44</v>
      </c>
      <c r="B134" s="69" t="s">
        <v>45</v>
      </c>
      <c r="C134" s="63">
        <v>290613</v>
      </c>
      <c r="D134" s="63">
        <v>165895</v>
      </c>
      <c r="E134" s="63">
        <v>456508</v>
      </c>
      <c r="F134" s="241">
        <v>28.9664</v>
      </c>
      <c r="G134" s="63">
        <f t="shared" ref="G134:G153" si="29">E134*F134</f>
        <v>13223393.3312</v>
      </c>
      <c r="H134" s="55"/>
      <c r="I134" s="68"/>
    </row>
    <row r="135" spans="1:9" x14ac:dyDescent="0.3">
      <c r="A135" s="295"/>
      <c r="B135" s="69" t="s">
        <v>46</v>
      </c>
      <c r="C135" s="63">
        <v>301586</v>
      </c>
      <c r="D135" s="63">
        <v>172159</v>
      </c>
      <c r="E135" s="63">
        <v>473745</v>
      </c>
      <c r="F135" s="241">
        <v>29.248100000000001</v>
      </c>
      <c r="G135" s="63">
        <f t="shared" si="29"/>
        <v>13856141.134500001</v>
      </c>
      <c r="H135" s="55"/>
      <c r="I135" s="68"/>
    </row>
    <row r="136" spans="1:9" x14ac:dyDescent="0.3">
      <c r="A136" s="295"/>
      <c r="B136" s="69" t="s">
        <v>47</v>
      </c>
      <c r="C136" s="63">
        <v>5860658</v>
      </c>
      <c r="D136" s="63">
        <v>3345529</v>
      </c>
      <c r="E136" s="63">
        <v>9206187</v>
      </c>
      <c r="F136" s="241">
        <v>28.781500000000001</v>
      </c>
      <c r="G136" s="63">
        <f t="shared" si="29"/>
        <v>264967871.14050001</v>
      </c>
      <c r="H136" s="55"/>
      <c r="I136" s="68"/>
    </row>
    <row r="137" spans="1:9" x14ac:dyDescent="0.3">
      <c r="A137" s="295"/>
      <c r="B137" s="69" t="s">
        <v>48</v>
      </c>
      <c r="C137" s="63">
        <v>8324947</v>
      </c>
      <c r="D137" s="63">
        <v>4752256</v>
      </c>
      <c r="E137" s="63">
        <v>13077203</v>
      </c>
      <c r="F137" s="241">
        <v>28.9239</v>
      </c>
      <c r="G137" s="63">
        <f t="shared" si="29"/>
        <v>378243711.85170001</v>
      </c>
      <c r="H137" s="55"/>
      <c r="I137" s="68"/>
    </row>
    <row r="138" spans="1:9" x14ac:dyDescent="0.3">
      <c r="A138" s="295"/>
      <c r="B138" s="69" t="s">
        <v>49</v>
      </c>
      <c r="C138" s="63">
        <v>3310000</v>
      </c>
      <c r="D138" s="63">
        <v>1889498</v>
      </c>
      <c r="E138" s="63">
        <v>5199498</v>
      </c>
      <c r="F138" s="241">
        <v>28.616399999999999</v>
      </c>
      <c r="G138" s="63">
        <f t="shared" si="29"/>
        <v>148790914.56720001</v>
      </c>
      <c r="H138" s="55"/>
      <c r="I138" s="68"/>
    </row>
    <row r="139" spans="1:9" x14ac:dyDescent="0.3">
      <c r="A139" s="295"/>
      <c r="B139" s="69" t="s">
        <v>50</v>
      </c>
      <c r="C139" s="63">
        <v>2834000</v>
      </c>
      <c r="D139" s="63">
        <v>1617776</v>
      </c>
      <c r="E139" s="63">
        <v>4451776</v>
      </c>
      <c r="F139" s="241">
        <v>28.431000000000001</v>
      </c>
      <c r="G139" s="63">
        <f t="shared" si="29"/>
        <v>126568443.456</v>
      </c>
      <c r="H139" s="55"/>
      <c r="I139" s="68"/>
    </row>
    <row r="140" spans="1:9" x14ac:dyDescent="0.3">
      <c r="A140" s="295"/>
      <c r="B140" s="69" t="s">
        <v>51</v>
      </c>
      <c r="C140" s="63">
        <v>2860000</v>
      </c>
      <c r="D140" s="63">
        <v>1632617</v>
      </c>
      <c r="E140" s="63">
        <v>4492617</v>
      </c>
      <c r="F140" s="241">
        <v>28.07</v>
      </c>
      <c r="G140" s="63">
        <f t="shared" si="29"/>
        <v>126107759.19</v>
      </c>
      <c r="H140" s="55"/>
      <c r="I140" s="68"/>
    </row>
    <row r="141" spans="1:9" x14ac:dyDescent="0.3">
      <c r="A141" s="295"/>
      <c r="B141" s="69" t="s">
        <v>52</v>
      </c>
      <c r="C141" s="63">
        <v>2000000</v>
      </c>
      <c r="D141" s="63">
        <v>1141690</v>
      </c>
      <c r="E141" s="63">
        <v>3141690</v>
      </c>
      <c r="F141" s="241">
        <v>25.61</v>
      </c>
      <c r="G141" s="63">
        <f t="shared" si="29"/>
        <v>80458680.899999991</v>
      </c>
      <c r="H141" s="55"/>
      <c r="I141" s="68"/>
    </row>
    <row r="142" spans="1:9" ht="14.25" customHeight="1" x14ac:dyDescent="0.3">
      <c r="A142" s="295"/>
      <c r="B142" s="69" t="s">
        <v>53</v>
      </c>
      <c r="C142" s="63">
        <v>2339000</v>
      </c>
      <c r="D142" s="63">
        <v>1335208</v>
      </c>
      <c r="E142" s="63">
        <v>3674208</v>
      </c>
      <c r="F142" s="241">
        <v>25.9</v>
      </c>
      <c r="G142" s="63">
        <f t="shared" si="29"/>
        <v>95161987.199999988</v>
      </c>
      <c r="H142" s="55"/>
      <c r="I142" s="68"/>
    </row>
    <row r="143" spans="1:9" x14ac:dyDescent="0.3">
      <c r="A143" s="295"/>
      <c r="B143" s="69" t="s">
        <v>54</v>
      </c>
      <c r="C143" s="63">
        <v>2750000</v>
      </c>
      <c r="D143" s="63">
        <v>1569825</v>
      </c>
      <c r="E143" s="63">
        <v>4319825</v>
      </c>
      <c r="F143" s="241">
        <v>24.9191</v>
      </c>
      <c r="G143" s="63">
        <f t="shared" si="29"/>
        <v>107646151.1575</v>
      </c>
      <c r="H143" s="55"/>
      <c r="I143" s="68"/>
    </row>
    <row r="144" spans="1:9" x14ac:dyDescent="0.3">
      <c r="A144" s="295"/>
      <c r="B144" s="69" t="s">
        <v>55</v>
      </c>
      <c r="C144" s="63">
        <v>2567000</v>
      </c>
      <c r="D144" s="63">
        <v>1465359</v>
      </c>
      <c r="E144" s="63">
        <v>4032359</v>
      </c>
      <c r="F144" s="241">
        <v>26.7</v>
      </c>
      <c r="G144" s="63">
        <f t="shared" si="29"/>
        <v>107663985.3</v>
      </c>
      <c r="H144" s="55"/>
      <c r="I144" s="46"/>
    </row>
    <row r="145" spans="1:9" ht="16.5" x14ac:dyDescent="0.35">
      <c r="A145" s="295"/>
      <c r="B145" s="69" t="s">
        <v>56</v>
      </c>
      <c r="C145" s="63">
        <v>2470000</v>
      </c>
      <c r="D145" s="63">
        <v>1409988</v>
      </c>
      <c r="E145" s="63">
        <v>3879988</v>
      </c>
      <c r="F145" s="241">
        <v>27.65</v>
      </c>
      <c r="G145" s="63">
        <f t="shared" si="29"/>
        <v>107281668.19999999</v>
      </c>
      <c r="H145" s="55"/>
      <c r="I145" s="1"/>
    </row>
    <row r="146" spans="1:9" ht="16.5" x14ac:dyDescent="0.35">
      <c r="A146" s="295"/>
      <c r="B146" s="69" t="s">
        <v>57</v>
      </c>
      <c r="C146" s="63">
        <v>2087037</v>
      </c>
      <c r="D146" s="63">
        <v>1191373</v>
      </c>
      <c r="E146" s="63">
        <v>3278410</v>
      </c>
      <c r="F146" s="241">
        <v>28.67</v>
      </c>
      <c r="G146" s="63">
        <f t="shared" si="29"/>
        <v>93992014.700000003</v>
      </c>
      <c r="H146" s="55"/>
      <c r="I146" s="1"/>
    </row>
    <row r="147" spans="1:9" ht="16.5" x14ac:dyDescent="0.35">
      <c r="A147" s="295"/>
      <c r="B147" s="69" t="s">
        <v>58</v>
      </c>
      <c r="C147" s="63">
        <v>1923600</v>
      </c>
      <c r="D147" s="63">
        <v>1098078</v>
      </c>
      <c r="E147" s="63">
        <v>3021678</v>
      </c>
      <c r="F147" s="241">
        <v>28.58</v>
      </c>
      <c r="G147" s="63">
        <f t="shared" si="29"/>
        <v>86359557.239999995</v>
      </c>
      <c r="H147" s="55"/>
      <c r="I147" s="1"/>
    </row>
    <row r="148" spans="1:9" x14ac:dyDescent="0.3">
      <c r="A148" s="295"/>
      <c r="B148" s="69" t="s">
        <v>59</v>
      </c>
      <c r="C148" s="63">
        <v>2461111</v>
      </c>
      <c r="D148" s="63">
        <v>1404913</v>
      </c>
      <c r="E148" s="63">
        <v>3866024</v>
      </c>
      <c r="F148" s="241">
        <v>28.03</v>
      </c>
      <c r="G148" s="63">
        <f t="shared" si="29"/>
        <v>108364652.72</v>
      </c>
      <c r="H148" s="55"/>
      <c r="I148" s="68"/>
    </row>
    <row r="149" spans="1:9" x14ac:dyDescent="0.3">
      <c r="A149" s="296"/>
      <c r="B149" s="69" t="s">
        <v>60</v>
      </c>
      <c r="C149" s="63">
        <v>529874</v>
      </c>
      <c r="D149" s="63">
        <v>302476</v>
      </c>
      <c r="E149" s="63">
        <v>832350</v>
      </c>
      <c r="F149" s="241">
        <v>27.1</v>
      </c>
      <c r="G149" s="63">
        <f t="shared" si="29"/>
        <v>22556685</v>
      </c>
      <c r="H149" s="55"/>
      <c r="I149" s="68"/>
    </row>
    <row r="150" spans="1:9" x14ac:dyDescent="0.3">
      <c r="B150" s="69"/>
      <c r="C150" s="62"/>
      <c r="D150" s="62"/>
      <c r="E150" s="54"/>
      <c r="F150" s="244"/>
      <c r="G150" s="54"/>
      <c r="H150" s="55"/>
      <c r="I150" s="54"/>
    </row>
    <row r="151" spans="1:9" x14ac:dyDescent="0.3">
      <c r="A151" s="294" t="s">
        <v>61</v>
      </c>
      <c r="B151" s="69" t="s">
        <v>62</v>
      </c>
      <c r="C151" s="62">
        <v>6558946</v>
      </c>
      <c r="D151" s="62">
        <v>3744143</v>
      </c>
      <c r="E151" s="63">
        <v>10303089</v>
      </c>
      <c r="F151" s="241">
        <v>25.150099999999998</v>
      </c>
      <c r="G151" s="63">
        <f t="shared" si="29"/>
        <v>259123718.65889999</v>
      </c>
      <c r="H151" s="55"/>
      <c r="I151" s="68"/>
    </row>
    <row r="152" spans="1:9" x14ac:dyDescent="0.3">
      <c r="A152" s="295"/>
      <c r="B152" s="69" t="s">
        <v>63</v>
      </c>
      <c r="C152" s="62">
        <v>8439372</v>
      </c>
      <c r="D152" s="62">
        <v>4817574</v>
      </c>
      <c r="E152" s="63">
        <v>13256946</v>
      </c>
      <c r="F152" s="241">
        <v>26.181899999999999</v>
      </c>
      <c r="G152" s="63">
        <f t="shared" si="29"/>
        <v>347092034.4774</v>
      </c>
      <c r="H152" s="55"/>
      <c r="I152" s="68"/>
    </row>
    <row r="153" spans="1:9" x14ac:dyDescent="0.3">
      <c r="A153" s="296"/>
      <c r="B153" s="70" t="s">
        <v>64</v>
      </c>
      <c r="C153" s="71">
        <v>571978</v>
      </c>
      <c r="D153" s="71">
        <v>326511</v>
      </c>
      <c r="E153" s="72">
        <v>898489</v>
      </c>
      <c r="F153" s="246">
        <v>26.869399999999999</v>
      </c>
      <c r="G153" s="72">
        <f t="shared" si="29"/>
        <v>24141860.336599998</v>
      </c>
      <c r="H153" s="55"/>
      <c r="I153" s="68"/>
    </row>
    <row r="154" spans="1:9" x14ac:dyDescent="0.3">
      <c r="B154" s="69"/>
      <c r="C154" s="62"/>
      <c r="D154" s="62"/>
      <c r="E154" s="54"/>
      <c r="F154" s="244"/>
      <c r="G154" s="54"/>
      <c r="H154" s="55"/>
      <c r="I154" s="54"/>
    </row>
    <row r="155" spans="1:9" x14ac:dyDescent="0.3">
      <c r="A155" s="294" t="s">
        <v>65</v>
      </c>
      <c r="B155" s="69" t="s">
        <v>66</v>
      </c>
      <c r="C155" s="63">
        <v>254801</v>
      </c>
      <c r="D155" s="63">
        <v>157429</v>
      </c>
      <c r="E155" s="63">
        <f>C155+D155</f>
        <v>412230</v>
      </c>
      <c r="F155" s="241">
        <v>24.34</v>
      </c>
      <c r="G155" s="63">
        <f t="shared" ref="G155:G164" si="30">E155*F155</f>
        <v>10033678.199999999</v>
      </c>
      <c r="H155" s="55"/>
      <c r="I155" s="68"/>
    </row>
    <row r="156" spans="1:9" x14ac:dyDescent="0.3">
      <c r="A156" s="295"/>
      <c r="B156" s="69" t="s">
        <v>67</v>
      </c>
      <c r="C156" s="63">
        <v>587000</v>
      </c>
      <c r="D156" s="63">
        <v>799183</v>
      </c>
      <c r="E156" s="63">
        <f t="shared" ref="E156:E164" si="31">C156+D156</f>
        <v>1386183</v>
      </c>
      <c r="F156" s="241">
        <v>24.45</v>
      </c>
      <c r="G156" s="63">
        <f t="shared" si="30"/>
        <v>33892174.350000001</v>
      </c>
      <c r="H156" s="55"/>
      <c r="I156" s="68"/>
    </row>
    <row r="157" spans="1:9" x14ac:dyDescent="0.3">
      <c r="A157" s="295"/>
      <c r="B157" s="69" t="s">
        <v>68</v>
      </c>
      <c r="C157" s="63">
        <v>640656</v>
      </c>
      <c r="D157" s="63">
        <v>1883789</v>
      </c>
      <c r="E157" s="63">
        <f t="shared" si="31"/>
        <v>2524445</v>
      </c>
      <c r="F157" s="241">
        <v>25.06</v>
      </c>
      <c r="G157" s="63">
        <f t="shared" si="30"/>
        <v>63262591.699999996</v>
      </c>
      <c r="H157" s="55"/>
      <c r="I157" s="68"/>
    </row>
    <row r="158" spans="1:9" x14ac:dyDescent="0.3">
      <c r="A158" s="295"/>
      <c r="B158" s="69" t="s">
        <v>69</v>
      </c>
      <c r="C158" s="63">
        <v>518542</v>
      </c>
      <c r="D158" s="63">
        <v>1975817</v>
      </c>
      <c r="E158" s="63">
        <f t="shared" si="31"/>
        <v>2494359</v>
      </c>
      <c r="F158" s="241">
        <v>25.33</v>
      </c>
      <c r="G158" s="63">
        <f t="shared" si="30"/>
        <v>63182113.469999999</v>
      </c>
      <c r="H158" s="55"/>
      <c r="I158" s="68"/>
    </row>
    <row r="159" spans="1:9" x14ac:dyDescent="0.3">
      <c r="A159" s="295"/>
      <c r="B159" s="69" t="s">
        <v>70</v>
      </c>
      <c r="C159" s="63">
        <v>417793</v>
      </c>
      <c r="D159" s="63">
        <v>288648</v>
      </c>
      <c r="E159" s="63">
        <f t="shared" si="31"/>
        <v>706441</v>
      </c>
      <c r="F159" s="241">
        <v>26.587499999999999</v>
      </c>
      <c r="G159" s="63">
        <f t="shared" si="30"/>
        <v>18782500.087499999</v>
      </c>
      <c r="H159" s="55"/>
      <c r="I159" s="68"/>
    </row>
    <row r="160" spans="1:9" x14ac:dyDescent="0.3">
      <c r="A160" s="295"/>
      <c r="B160" s="69" t="s">
        <v>71</v>
      </c>
      <c r="C160" s="63">
        <v>505647</v>
      </c>
      <c r="D160" s="63">
        <v>238497</v>
      </c>
      <c r="E160" s="63">
        <f t="shared" si="31"/>
        <v>744144</v>
      </c>
      <c r="F160" s="241">
        <v>26.015699999999999</v>
      </c>
      <c r="G160" s="63">
        <f t="shared" si="30"/>
        <v>19359427.060800001</v>
      </c>
      <c r="H160" s="55"/>
      <c r="I160" s="68"/>
    </row>
    <row r="161" spans="1:9" x14ac:dyDescent="0.3">
      <c r="A161" s="295"/>
      <c r="B161" s="69" t="s">
        <v>72</v>
      </c>
      <c r="C161" s="63">
        <v>3461212</v>
      </c>
      <c r="D161" s="63">
        <v>296006</v>
      </c>
      <c r="E161" s="63">
        <f t="shared" si="31"/>
        <v>3757218</v>
      </c>
      <c r="F161" s="241">
        <v>25.9527</v>
      </c>
      <c r="G161" s="63">
        <f t="shared" si="30"/>
        <v>97509951.588599995</v>
      </c>
      <c r="H161" s="55"/>
      <c r="I161" s="68"/>
    </row>
    <row r="162" spans="1:9" x14ac:dyDescent="0.3">
      <c r="A162" s="295"/>
      <c r="B162" s="69" t="s">
        <v>73</v>
      </c>
      <c r="C162" s="63">
        <v>3300000</v>
      </c>
      <c r="D162" s="63">
        <v>365715</v>
      </c>
      <c r="E162" s="63">
        <f t="shared" si="31"/>
        <v>3665715</v>
      </c>
      <c r="F162" s="241">
        <v>27.253299999999999</v>
      </c>
      <c r="G162" s="63">
        <f t="shared" si="30"/>
        <v>99902830.609499991</v>
      </c>
      <c r="H162" s="55"/>
      <c r="I162" s="68"/>
    </row>
    <row r="163" spans="1:9" x14ac:dyDescent="0.3">
      <c r="A163" s="295"/>
      <c r="B163" s="69" t="s">
        <v>74</v>
      </c>
      <c r="C163" s="63">
        <v>1400000</v>
      </c>
      <c r="D163" s="63">
        <v>335087</v>
      </c>
      <c r="E163" s="63">
        <f t="shared" si="31"/>
        <v>1735087</v>
      </c>
      <c r="F163" s="241">
        <v>26.961400000000001</v>
      </c>
      <c r="G163" s="63">
        <f t="shared" si="30"/>
        <v>46780374.641800001</v>
      </c>
      <c r="H163" s="55"/>
      <c r="I163" s="68"/>
    </row>
    <row r="164" spans="1:9" x14ac:dyDescent="0.3">
      <c r="A164" s="296"/>
      <c r="B164" s="69" t="s">
        <v>75</v>
      </c>
      <c r="C164" s="63">
        <v>275783</v>
      </c>
      <c r="D164" s="63">
        <v>145452</v>
      </c>
      <c r="E164" s="63">
        <f t="shared" si="31"/>
        <v>421235</v>
      </c>
      <c r="F164" s="241">
        <v>25.1219</v>
      </c>
      <c r="G164" s="63">
        <f t="shared" si="30"/>
        <v>10582223.546499999</v>
      </c>
      <c r="H164" s="55"/>
      <c r="I164" s="68"/>
    </row>
    <row r="165" spans="1:9" x14ac:dyDescent="0.3">
      <c r="B165" s="69"/>
      <c r="C165" s="62"/>
      <c r="D165" s="62"/>
      <c r="E165" s="54"/>
      <c r="F165" s="244"/>
      <c r="G165" s="54"/>
      <c r="H165" s="55"/>
      <c r="I165" s="54"/>
    </row>
    <row r="166" spans="1:9" ht="14.5" customHeight="1" x14ac:dyDescent="0.3">
      <c r="A166" s="294" t="s">
        <v>76</v>
      </c>
      <c r="B166" s="69" t="s">
        <v>77</v>
      </c>
      <c r="C166" s="73">
        <v>6594513</v>
      </c>
      <c r="D166" s="73">
        <v>0</v>
      </c>
      <c r="E166" s="63">
        <f>C166+D166</f>
        <v>6594513</v>
      </c>
      <c r="F166" s="241">
        <v>19.559999999999999</v>
      </c>
      <c r="G166" s="63">
        <f>E166*F166</f>
        <v>128988674.27999999</v>
      </c>
      <c r="H166" s="55"/>
      <c r="I166" s="68"/>
    </row>
    <row r="167" spans="1:9" x14ac:dyDescent="0.3">
      <c r="A167" s="295"/>
      <c r="B167" s="69" t="s">
        <v>78</v>
      </c>
      <c r="C167" s="73">
        <v>7210000</v>
      </c>
      <c r="D167" s="63">
        <v>3764445</v>
      </c>
      <c r="E167" s="63">
        <f>C167+D167</f>
        <v>10974445</v>
      </c>
      <c r="F167" s="241">
        <v>19.77</v>
      </c>
      <c r="G167" s="63">
        <f>E167*F167</f>
        <v>216964777.65000001</v>
      </c>
      <c r="H167" s="55"/>
      <c r="I167" s="68"/>
    </row>
    <row r="168" spans="1:9" x14ac:dyDescent="0.3">
      <c r="A168" s="295"/>
      <c r="B168" s="69" t="s">
        <v>79</v>
      </c>
      <c r="C168" s="73">
        <v>3455828</v>
      </c>
      <c r="D168" s="63">
        <v>4115793</v>
      </c>
      <c r="E168" s="63">
        <f>C168+D168</f>
        <v>7571621</v>
      </c>
      <c r="F168" s="241">
        <v>20.28</v>
      </c>
      <c r="G168" s="63">
        <f>E168*F168</f>
        <v>153552473.88</v>
      </c>
      <c r="H168" s="55"/>
      <c r="I168" s="68"/>
    </row>
    <row r="169" spans="1:9" x14ac:dyDescent="0.3">
      <c r="A169" s="296"/>
      <c r="B169" s="69">
        <v>44625</v>
      </c>
      <c r="C169" s="73">
        <v>0</v>
      </c>
      <c r="D169" s="63">
        <v>1972742</v>
      </c>
      <c r="E169" s="63">
        <f>C169+D169</f>
        <v>1972742</v>
      </c>
      <c r="F169" s="241">
        <v>20.28</v>
      </c>
      <c r="G169" s="63">
        <f>E169*F169</f>
        <v>40007207.760000005</v>
      </c>
      <c r="H169" s="55"/>
      <c r="I169" s="68"/>
    </row>
    <row r="170" spans="1:9" x14ac:dyDescent="0.3">
      <c r="B170" s="69"/>
      <c r="C170" s="62"/>
      <c r="D170" s="62"/>
      <c r="E170" s="54"/>
      <c r="F170" s="244"/>
      <c r="G170" s="54"/>
      <c r="H170" s="55"/>
      <c r="I170" s="54"/>
    </row>
    <row r="171" spans="1:9" ht="14.5" customHeight="1" x14ac:dyDescent="0.3">
      <c r="A171" s="294" t="s">
        <v>80</v>
      </c>
      <c r="B171" s="69" t="s">
        <v>81</v>
      </c>
      <c r="C171" s="73">
        <v>7414662</v>
      </c>
      <c r="D171" s="62">
        <v>0</v>
      </c>
      <c r="E171" s="63">
        <v>7414662</v>
      </c>
      <c r="F171" s="241">
        <v>11.44</v>
      </c>
      <c r="G171" s="63">
        <f>E171*F171</f>
        <v>84823733.280000001</v>
      </c>
      <c r="H171" s="55"/>
      <c r="I171" s="68"/>
    </row>
    <row r="172" spans="1:9" x14ac:dyDescent="0.3">
      <c r="A172" s="295"/>
      <c r="B172" s="69" t="s">
        <v>82</v>
      </c>
      <c r="C172" s="73">
        <v>176491</v>
      </c>
      <c r="D172" s="62">
        <v>0</v>
      </c>
      <c r="E172" s="63">
        <v>176491</v>
      </c>
      <c r="F172" s="241">
        <v>11.66</v>
      </c>
      <c r="G172" s="63">
        <f>E172*F172</f>
        <v>2057885.06</v>
      </c>
      <c r="H172" s="55"/>
      <c r="I172" s="68"/>
    </row>
    <row r="173" spans="1:9" x14ac:dyDescent="0.3">
      <c r="A173" s="295"/>
      <c r="B173" s="69" t="s">
        <v>83</v>
      </c>
      <c r="C173" s="73">
        <v>8581177</v>
      </c>
      <c r="D173" s="62">
        <v>0</v>
      </c>
      <c r="E173" s="63">
        <v>8581177</v>
      </c>
      <c r="F173" s="241">
        <v>11.93</v>
      </c>
      <c r="G173" s="63">
        <f>E173*F173</f>
        <v>102373441.61</v>
      </c>
      <c r="H173" s="55"/>
      <c r="I173" s="68"/>
    </row>
    <row r="174" spans="1:9" x14ac:dyDescent="0.3">
      <c r="A174" s="295"/>
      <c r="B174" s="69" t="s">
        <v>84</v>
      </c>
      <c r="C174" s="73">
        <v>9031156</v>
      </c>
      <c r="D174" s="62">
        <v>0</v>
      </c>
      <c r="E174" s="63">
        <v>9031156</v>
      </c>
      <c r="F174" s="241">
        <v>12.34</v>
      </c>
      <c r="G174" s="63">
        <f>E174*F174</f>
        <v>111444465.03999999</v>
      </c>
      <c r="H174" s="55"/>
      <c r="I174" s="68"/>
    </row>
    <row r="175" spans="1:9" x14ac:dyDescent="0.3">
      <c r="A175" s="296"/>
      <c r="B175" s="69" t="s">
        <v>85</v>
      </c>
      <c r="C175" s="73">
        <v>10432767</v>
      </c>
      <c r="D175" s="62">
        <v>0</v>
      </c>
      <c r="E175" s="63">
        <v>10432767</v>
      </c>
      <c r="F175" s="241">
        <v>11.91</v>
      </c>
      <c r="G175" s="63">
        <f>E175*F175</f>
        <v>124254254.97</v>
      </c>
      <c r="H175" s="55"/>
      <c r="I175" s="68"/>
    </row>
    <row r="176" spans="1:9" x14ac:dyDescent="0.3">
      <c r="A176" s="67"/>
      <c r="B176" s="69"/>
      <c r="C176" s="73"/>
      <c r="D176" s="62"/>
      <c r="E176" s="63"/>
      <c r="G176" s="63"/>
      <c r="H176" s="55"/>
      <c r="I176" s="68"/>
    </row>
    <row r="177" spans="1:9" x14ac:dyDescent="0.3">
      <c r="A177" s="30" t="s">
        <v>86</v>
      </c>
      <c r="B177" s="69"/>
      <c r="C177" s="74">
        <f>SUM(C6:C175)</f>
        <v>362764756</v>
      </c>
      <c r="D177" s="74">
        <f>SUM(D6:D175)</f>
        <v>67722387</v>
      </c>
      <c r="E177" s="74">
        <f>SUM(E6:E175)</f>
        <v>430487143</v>
      </c>
      <c r="G177" s="74">
        <f>SUM(G6:G175)</f>
        <v>10835371744.059198</v>
      </c>
      <c r="H177" s="65">
        <f>G177/E177</f>
        <v>25.170024053562031</v>
      </c>
      <c r="I177" s="75"/>
    </row>
    <row r="178" spans="1:9" x14ac:dyDescent="0.3">
      <c r="B178" s="76" t="s">
        <v>87</v>
      </c>
      <c r="C178" s="77"/>
      <c r="D178" s="77"/>
      <c r="E178" s="63"/>
      <c r="G178" s="63"/>
      <c r="H178" s="68"/>
      <c r="I178" s="68"/>
    </row>
    <row r="179" spans="1:9" x14ac:dyDescent="0.3">
      <c r="B179" s="78" t="s">
        <v>88</v>
      </c>
      <c r="C179" s="77"/>
      <c r="D179" s="77"/>
      <c r="E179" s="63"/>
      <c r="G179" s="63"/>
      <c r="H179" s="68"/>
      <c r="I179" s="68"/>
    </row>
    <row r="180" spans="1:9" x14ac:dyDescent="0.3">
      <c r="B180" s="69"/>
      <c r="C180" s="77"/>
      <c r="D180" s="77"/>
      <c r="E180" s="63"/>
      <c r="G180" s="63"/>
      <c r="H180" s="68"/>
      <c r="I180" s="68"/>
    </row>
    <row r="181" spans="1:9" x14ac:dyDescent="0.3">
      <c r="B181" s="79" t="s">
        <v>89</v>
      </c>
      <c r="G181" s="63"/>
      <c r="H181" s="68"/>
      <c r="I181" s="68"/>
    </row>
    <row r="182" spans="1:9" x14ac:dyDescent="0.3">
      <c r="B182" s="46" t="s">
        <v>90</v>
      </c>
      <c r="C182" s="77"/>
      <c r="D182" s="77"/>
      <c r="E182" s="63"/>
      <c r="G182" s="63"/>
      <c r="H182" s="68"/>
      <c r="I182" s="68"/>
    </row>
    <row r="183" spans="1:9" x14ac:dyDescent="0.3">
      <c r="B183" s="69"/>
      <c r="C183" s="77"/>
      <c r="D183" s="77"/>
      <c r="E183" s="63"/>
      <c r="G183" s="63"/>
      <c r="H183" s="68"/>
      <c r="I183" s="68"/>
    </row>
    <row r="184" spans="1:9" x14ac:dyDescent="0.3">
      <c r="B184" s="69"/>
      <c r="C184" s="77"/>
      <c r="D184" s="77"/>
      <c r="E184" s="63"/>
      <c r="G184" s="63"/>
      <c r="H184" s="68"/>
      <c r="I184" s="68"/>
    </row>
    <row r="185" spans="1:9" x14ac:dyDescent="0.3">
      <c r="B185" s="69"/>
      <c r="C185" s="77"/>
      <c r="D185" s="77"/>
      <c r="E185" s="63"/>
      <c r="G185" s="63"/>
      <c r="H185" s="68"/>
      <c r="I185" s="68"/>
    </row>
    <row r="186" spans="1:9" x14ac:dyDescent="0.3">
      <c r="B186" s="69"/>
      <c r="C186" s="77"/>
      <c r="D186" s="77"/>
      <c r="E186" s="63"/>
      <c r="G186" s="63"/>
      <c r="H186" s="68"/>
      <c r="I186" s="68"/>
    </row>
    <row r="187" spans="1:9" x14ac:dyDescent="0.3">
      <c r="B187" s="69"/>
      <c r="C187" s="77"/>
      <c r="D187" s="77"/>
      <c r="E187" s="63"/>
      <c r="G187" s="63"/>
      <c r="H187" s="68"/>
      <c r="I187" s="68"/>
    </row>
    <row r="188" spans="1:9" x14ac:dyDescent="0.3">
      <c r="B188" s="69"/>
      <c r="C188" s="77"/>
      <c r="D188" s="77"/>
      <c r="E188" s="63"/>
      <c r="G188" s="63"/>
      <c r="H188" s="68"/>
      <c r="I188" s="68"/>
    </row>
    <row r="189" spans="1:9" x14ac:dyDescent="0.3">
      <c r="B189" s="69"/>
      <c r="C189" s="77"/>
      <c r="D189" s="77"/>
      <c r="E189" s="63"/>
      <c r="G189" s="63"/>
      <c r="H189" s="68"/>
      <c r="I189" s="68"/>
    </row>
    <row r="190" spans="1:9" x14ac:dyDescent="0.3">
      <c r="B190" s="69"/>
      <c r="C190" s="77"/>
      <c r="D190" s="77"/>
      <c r="E190" s="63"/>
      <c r="G190" s="63"/>
      <c r="H190" s="68"/>
      <c r="I190" s="68"/>
    </row>
    <row r="191" spans="1:9" x14ac:dyDescent="0.3">
      <c r="B191" s="69"/>
      <c r="C191" s="77"/>
      <c r="D191" s="77"/>
      <c r="E191" s="63"/>
      <c r="G191" s="63"/>
      <c r="H191" s="68"/>
      <c r="I191" s="68"/>
    </row>
    <row r="192" spans="1:9" x14ac:dyDescent="0.3">
      <c r="B192" s="69"/>
      <c r="C192" s="77"/>
      <c r="D192" s="77"/>
      <c r="E192" s="63"/>
      <c r="G192" s="63"/>
      <c r="H192" s="68"/>
      <c r="I192" s="68"/>
    </row>
    <row r="193" spans="2:9" x14ac:dyDescent="0.3">
      <c r="B193" s="69"/>
      <c r="C193" s="77"/>
      <c r="D193" s="77"/>
      <c r="E193" s="63"/>
      <c r="G193" s="63"/>
      <c r="H193" s="68"/>
      <c r="I193" s="68"/>
    </row>
    <row r="194" spans="2:9" x14ac:dyDescent="0.3">
      <c r="B194" s="69"/>
      <c r="C194" s="77"/>
      <c r="D194" s="77"/>
      <c r="E194" s="63"/>
      <c r="G194" s="63"/>
      <c r="H194" s="68"/>
      <c r="I194" s="68"/>
    </row>
    <row r="195" spans="2:9" x14ac:dyDescent="0.3">
      <c r="B195" s="69"/>
      <c r="C195" s="77"/>
      <c r="D195" s="77"/>
      <c r="E195" s="63"/>
      <c r="G195" s="63"/>
      <c r="H195" s="68"/>
      <c r="I195" s="68"/>
    </row>
    <row r="196" spans="2:9" x14ac:dyDescent="0.3">
      <c r="B196" s="69"/>
      <c r="C196" s="77"/>
      <c r="D196" s="77"/>
      <c r="E196" s="63"/>
      <c r="G196" s="63"/>
      <c r="H196" s="68"/>
      <c r="I196" s="68"/>
    </row>
    <row r="197" spans="2:9" x14ac:dyDescent="0.3">
      <c r="B197" s="69"/>
      <c r="C197" s="77"/>
      <c r="D197" s="77"/>
      <c r="E197" s="63"/>
      <c r="G197" s="63"/>
      <c r="H197" s="68"/>
      <c r="I197" s="68"/>
    </row>
    <row r="198" spans="2:9" x14ac:dyDescent="0.3">
      <c r="B198" s="69"/>
      <c r="C198" s="77"/>
      <c r="D198" s="77"/>
      <c r="E198" s="63"/>
      <c r="G198" s="63"/>
      <c r="H198" s="68"/>
      <c r="I198" s="68"/>
    </row>
  </sheetData>
  <mergeCells count="12">
    <mergeCell ref="A171:A175"/>
    <mergeCell ref="A126:A132"/>
    <mergeCell ref="A134:A149"/>
    <mergeCell ref="A151:A153"/>
    <mergeCell ref="A155:A164"/>
    <mergeCell ref="A166:A169"/>
    <mergeCell ref="A5:A14"/>
    <mergeCell ref="A30:A83"/>
    <mergeCell ref="A85:A105"/>
    <mergeCell ref="A107:A111"/>
    <mergeCell ref="A113:A124"/>
    <mergeCell ref="A16:A28"/>
  </mergeCells>
  <hyperlinks>
    <hyperlink ref="B182" r:id="rId1" display="https://corporate.arcelormittal.com/investors/equity-investors/share-buyback-program" xr:uid="{00000000-0004-0000-0000-000000000000}"/>
    <hyperlink ref="F1" r:id="rId2" display="https://corporate.arcelormittal.com/investors/equity-investors/share-buyback-program" xr:uid="{94C7CB52-9004-4F0D-B434-1C5F9C9AF3E8}"/>
  </hyperlinks>
  <pageMargins left="0.25" right="0.25" top="0.75" bottom="0.75" header="0.3" footer="0.3"/>
  <pageSetup paperSize="9" scale="60" fitToHeight="2" orientation="portrait" r:id="rId3"/>
  <ignoredErrors>
    <ignoredError sqref="B126:B133 B177 B109:B116 B118:B124 B107 B151:B175 B98:B105 B93:B96 B85:B91 B81:B83 B77:B78 B75:B76 B72:B73 B58:B61 B63:B65 B67:B70 B54:B57 B50:B53 B43:B49 B41:B42 B36:B40 B31 B34 B32:B33 B24:B28 B17:B22 B6:B9 B10:B14" twoDigitTextYear="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79"/>
  <sheetViews>
    <sheetView showGridLines="0" zoomScaleNormal="100" workbookViewId="0">
      <pane xSplit="3" ySplit="2" topLeftCell="D17" activePane="bottomRight" state="frozen"/>
      <selection pane="topRight" activeCell="D1" sqref="D1"/>
      <selection pane="bottomLeft" activeCell="A3" sqref="A3"/>
      <selection pane="bottomRight" activeCell="G68" sqref="G68"/>
    </sheetView>
  </sheetViews>
  <sheetFormatPr defaultColWidth="8.81640625" defaultRowHeight="12.5" x14ac:dyDescent="0.25"/>
  <cols>
    <col min="1" max="1" width="1.81640625" style="4" customWidth="1"/>
    <col min="2" max="2" width="53.81640625" style="4" customWidth="1"/>
    <col min="3" max="3" width="28.54296875" style="4" customWidth="1"/>
    <col min="4" max="4" width="17.1796875" style="4" customWidth="1"/>
    <col min="5" max="5" width="15" style="4" customWidth="1"/>
    <col min="6" max="6" width="14.81640625" style="4" bestFit="1" customWidth="1"/>
    <col min="7" max="7" width="121" style="4" customWidth="1"/>
    <col min="8" max="8" width="12" style="4" customWidth="1"/>
    <col min="9" max="16384" width="8.81640625" style="4"/>
  </cols>
  <sheetData>
    <row r="1" spans="2:7" ht="1.5" customHeight="1" x14ac:dyDescent="0.25"/>
    <row r="2" spans="2:7" ht="13" x14ac:dyDescent="0.3">
      <c r="B2" s="80" t="s">
        <v>91</v>
      </c>
      <c r="C2" s="81" t="s">
        <v>92</v>
      </c>
      <c r="D2" s="82" t="s">
        <v>93</v>
      </c>
      <c r="E2" s="82" t="s">
        <v>94</v>
      </c>
      <c r="F2" s="81"/>
      <c r="G2" s="81" t="s">
        <v>241</v>
      </c>
    </row>
    <row r="3" spans="2:7" x14ac:dyDescent="0.25">
      <c r="B3" s="4" t="s">
        <v>95</v>
      </c>
      <c r="C3" s="4" t="s">
        <v>96</v>
      </c>
      <c r="D3" s="83">
        <v>-13</v>
      </c>
      <c r="E3" s="83"/>
      <c r="G3" s="4" t="s">
        <v>97</v>
      </c>
    </row>
    <row r="4" spans="2:7" x14ac:dyDescent="0.25">
      <c r="C4" s="4" t="s">
        <v>98</v>
      </c>
      <c r="D4" s="83">
        <v>-487</v>
      </c>
      <c r="E4" s="83">
        <f>+D3+D4</f>
        <v>-500</v>
      </c>
      <c r="G4" s="4" t="s">
        <v>99</v>
      </c>
    </row>
    <row r="5" spans="2:7" x14ac:dyDescent="0.25">
      <c r="D5" s="83"/>
      <c r="E5" s="83"/>
    </row>
    <row r="6" spans="2:7" x14ac:dyDescent="0.25">
      <c r="B6" s="4" t="s">
        <v>76</v>
      </c>
      <c r="C6" s="4" t="s">
        <v>100</v>
      </c>
      <c r="D6" s="83">
        <v>-650</v>
      </c>
      <c r="E6" s="83">
        <f>+D6</f>
        <v>-650</v>
      </c>
      <c r="G6" s="4" t="s">
        <v>101</v>
      </c>
    </row>
    <row r="7" spans="2:7" x14ac:dyDescent="0.25">
      <c r="D7" s="83"/>
      <c r="E7" s="83"/>
    </row>
    <row r="8" spans="2:7" x14ac:dyDescent="0.25">
      <c r="B8" s="4" t="s">
        <v>65</v>
      </c>
      <c r="C8" s="4" t="s">
        <v>102</v>
      </c>
      <c r="D8" s="83">
        <v>-570</v>
      </c>
      <c r="E8" s="83">
        <f>+D8</f>
        <v>-570</v>
      </c>
      <c r="G8" s="4" t="s">
        <v>103</v>
      </c>
    </row>
    <row r="9" spans="2:7" x14ac:dyDescent="0.25">
      <c r="B9" s="4" t="s">
        <v>61</v>
      </c>
      <c r="C9" s="4" t="s">
        <v>102</v>
      </c>
      <c r="D9" s="84">
        <f>-750+323</f>
        <v>-427</v>
      </c>
      <c r="E9" s="83"/>
      <c r="G9" s="4" t="s">
        <v>103</v>
      </c>
    </row>
    <row r="10" spans="2:7" ht="13" x14ac:dyDescent="0.3">
      <c r="C10" s="85" t="s">
        <v>104</v>
      </c>
      <c r="D10" s="86">
        <f>+D8+D9</f>
        <v>-997</v>
      </c>
      <c r="E10" s="83"/>
      <c r="G10" s="4" t="s">
        <v>103</v>
      </c>
    </row>
    <row r="11" spans="2:7" x14ac:dyDescent="0.25">
      <c r="D11" s="83"/>
      <c r="E11" s="83"/>
    </row>
    <row r="12" spans="2:7" x14ac:dyDescent="0.25">
      <c r="B12" s="4" t="s">
        <v>61</v>
      </c>
      <c r="C12" s="4" t="s">
        <v>105</v>
      </c>
      <c r="D12" s="83">
        <f>-750-D9</f>
        <v>-323</v>
      </c>
      <c r="E12" s="83">
        <f>+D9+D12</f>
        <v>-750</v>
      </c>
      <c r="G12" s="4" t="s">
        <v>106</v>
      </c>
    </row>
    <row r="13" spans="2:7" x14ac:dyDescent="0.25">
      <c r="B13" s="4" t="s">
        <v>44</v>
      </c>
      <c r="C13" s="4" t="s">
        <v>105</v>
      </c>
      <c r="D13" s="84">
        <v>-1380</v>
      </c>
      <c r="E13" s="83"/>
      <c r="G13" s="4" t="s">
        <v>106</v>
      </c>
    </row>
    <row r="14" spans="2:7" ht="13" x14ac:dyDescent="0.3">
      <c r="C14" s="85" t="s">
        <v>107</v>
      </c>
      <c r="D14" s="86">
        <f>SUM(D12:D13)</f>
        <v>-1703</v>
      </c>
      <c r="E14" s="83"/>
      <c r="G14" s="4" t="s">
        <v>106</v>
      </c>
    </row>
    <row r="15" spans="2:7" ht="13" x14ac:dyDescent="0.3">
      <c r="C15" s="85"/>
      <c r="D15" s="86"/>
      <c r="E15" s="83"/>
    </row>
    <row r="16" spans="2:7" x14ac:dyDescent="0.25">
      <c r="B16" s="4" t="s">
        <v>44</v>
      </c>
      <c r="C16" s="4" t="s">
        <v>108</v>
      </c>
      <c r="D16" s="83">
        <f>-2200-D13</f>
        <v>-820</v>
      </c>
      <c r="E16" s="83">
        <f>+D13+D16</f>
        <v>-2200</v>
      </c>
    </row>
    <row r="17" spans="2:9" ht="13" x14ac:dyDescent="0.3">
      <c r="B17" s="4" t="s">
        <v>109</v>
      </c>
      <c r="C17" s="4" t="s">
        <v>108</v>
      </c>
      <c r="D17" s="84">
        <v>-1000</v>
      </c>
      <c r="E17" s="83">
        <f>+D17</f>
        <v>-1000</v>
      </c>
      <c r="G17" s="86"/>
    </row>
    <row r="18" spans="2:9" ht="13" x14ac:dyDescent="0.3">
      <c r="C18" s="85" t="s">
        <v>110</v>
      </c>
      <c r="D18" s="86">
        <f>SUM(D16:D17)</f>
        <v>-1820</v>
      </c>
      <c r="E18" s="83"/>
      <c r="G18" s="4" t="s">
        <v>111</v>
      </c>
    </row>
    <row r="19" spans="2:9" ht="13" x14ac:dyDescent="0.3">
      <c r="C19" s="85"/>
      <c r="D19" s="86"/>
      <c r="E19" s="83"/>
      <c r="G19" s="86"/>
    </row>
    <row r="20" spans="2:9" x14ac:dyDescent="0.25">
      <c r="B20" s="4" t="s">
        <v>112</v>
      </c>
      <c r="C20" s="4" t="s">
        <v>113</v>
      </c>
      <c r="D20" s="83">
        <v>-504</v>
      </c>
      <c r="E20" s="83"/>
      <c r="G20" s="4" t="s">
        <v>114</v>
      </c>
    </row>
    <row r="21" spans="2:9" x14ac:dyDescent="0.25">
      <c r="D21" s="83"/>
      <c r="E21" s="83"/>
    </row>
    <row r="22" spans="2:9" x14ac:dyDescent="0.25">
      <c r="B22" s="4" t="s">
        <v>115</v>
      </c>
      <c r="C22" s="4" t="s">
        <v>116</v>
      </c>
      <c r="D22" s="87">
        <f>-1000-D20</f>
        <v>-496</v>
      </c>
      <c r="E22" s="87">
        <f>+D22+D20</f>
        <v>-1000</v>
      </c>
      <c r="G22" s="4" t="s">
        <v>117</v>
      </c>
      <c r="H22" s="88"/>
    </row>
    <row r="23" spans="2:9" x14ac:dyDescent="0.25">
      <c r="B23" s="4" t="s">
        <v>118</v>
      </c>
      <c r="C23" s="4" t="s">
        <v>116</v>
      </c>
      <c r="D23" s="84">
        <v>-1000</v>
      </c>
      <c r="E23" s="87">
        <f>+D23</f>
        <v>-1000</v>
      </c>
      <c r="G23" s="4" t="s">
        <v>117</v>
      </c>
      <c r="H23" s="88"/>
    </row>
    <row r="24" spans="2:9" ht="13" x14ac:dyDescent="0.3">
      <c r="C24" s="85" t="s">
        <v>119</v>
      </c>
      <c r="D24" s="86">
        <f>+D22+D23</f>
        <v>-1496</v>
      </c>
      <c r="E24" s="87"/>
      <c r="G24" s="88"/>
      <c r="H24" s="88"/>
    </row>
    <row r="25" spans="2:9" ht="13" x14ac:dyDescent="0.3">
      <c r="C25" s="85"/>
      <c r="D25" s="104"/>
      <c r="E25" s="87"/>
      <c r="G25" s="88"/>
      <c r="H25" s="88"/>
    </row>
    <row r="26" spans="2:9" ht="12.75" customHeight="1" x14ac:dyDescent="0.25">
      <c r="B26" s="4" t="s">
        <v>199</v>
      </c>
      <c r="C26" s="4" t="s">
        <v>120</v>
      </c>
      <c r="D26" s="87">
        <v>-649</v>
      </c>
      <c r="E26" s="121"/>
      <c r="G26" s="4" t="s">
        <v>198</v>
      </c>
    </row>
    <row r="27" spans="2:9" x14ac:dyDescent="0.25">
      <c r="C27" s="4" t="s">
        <v>197</v>
      </c>
      <c r="D27" s="120">
        <v>-288</v>
      </c>
      <c r="E27" s="121"/>
      <c r="G27" s="4" t="s">
        <v>209</v>
      </c>
    </row>
    <row r="28" spans="2:9" ht="13" x14ac:dyDescent="0.3">
      <c r="C28" s="85" t="s">
        <v>196</v>
      </c>
      <c r="D28" s="86">
        <f>SUM(D26:D27)</f>
        <v>-937</v>
      </c>
      <c r="E28" s="87"/>
    </row>
    <row r="29" spans="2:9" ht="13" x14ac:dyDescent="0.3">
      <c r="C29" s="85"/>
      <c r="D29" s="86"/>
    </row>
    <row r="30" spans="2:9" ht="27.75" customHeight="1" x14ac:dyDescent="0.25">
      <c r="B30" s="101" t="s">
        <v>214</v>
      </c>
      <c r="C30" s="144" t="s">
        <v>215</v>
      </c>
      <c r="D30" s="145">
        <v>-477</v>
      </c>
      <c r="E30" s="146"/>
      <c r="F30" s="147"/>
      <c r="G30" s="299" t="s">
        <v>242</v>
      </c>
      <c r="H30" s="299"/>
      <c r="I30" s="299"/>
    </row>
    <row r="31" spans="2:9" ht="16.5" customHeight="1" x14ac:dyDescent="0.25">
      <c r="B31" s="4" t="s">
        <v>231</v>
      </c>
      <c r="C31" s="148" t="s">
        <v>227</v>
      </c>
      <c r="D31" s="149">
        <v>-78</v>
      </c>
      <c r="E31" s="150">
        <f>D31+D30+D26+D27</f>
        <v>-1492</v>
      </c>
      <c r="F31" s="148"/>
      <c r="G31" s="151" t="s">
        <v>229</v>
      </c>
      <c r="H31" s="148"/>
      <c r="I31" s="148"/>
    </row>
    <row r="32" spans="2:9" x14ac:dyDescent="0.25">
      <c r="B32" s="4" t="s">
        <v>230</v>
      </c>
      <c r="C32" s="4" t="s">
        <v>227</v>
      </c>
      <c r="D32" s="120">
        <v>-149</v>
      </c>
      <c r="E32" s="121"/>
      <c r="G32" s="4" t="s">
        <v>243</v>
      </c>
    </row>
    <row r="33" spans="2:8" ht="18" customHeight="1" x14ac:dyDescent="0.25">
      <c r="C33" s="143" t="s">
        <v>232</v>
      </c>
      <c r="D33" s="157">
        <f>+D31+D32</f>
        <v>-227</v>
      </c>
      <c r="E33" s="87"/>
    </row>
    <row r="34" spans="2:8" x14ac:dyDescent="0.25">
      <c r="B34" s="4" t="s">
        <v>248</v>
      </c>
      <c r="C34" s="4" t="s">
        <v>247</v>
      </c>
      <c r="D34" s="160">
        <v>-38</v>
      </c>
      <c r="G34" s="4" t="s">
        <v>259</v>
      </c>
    </row>
    <row r="35" spans="2:8" x14ac:dyDescent="0.25">
      <c r="B35" s="4" t="s">
        <v>266</v>
      </c>
      <c r="C35" s="4" t="s">
        <v>258</v>
      </c>
      <c r="D35" s="160">
        <v>-466</v>
      </c>
      <c r="E35" s="149"/>
      <c r="G35" s="4" t="s">
        <v>270</v>
      </c>
    </row>
    <row r="36" spans="2:8" ht="13" x14ac:dyDescent="0.3">
      <c r="C36" s="143" t="s">
        <v>256</v>
      </c>
      <c r="D36" s="167">
        <f>SUM(D34:D35)</f>
        <v>-504</v>
      </c>
      <c r="E36" s="149"/>
      <c r="G36" s="159"/>
    </row>
    <row r="37" spans="2:8" ht="13" x14ac:dyDescent="0.3">
      <c r="C37" s="143"/>
      <c r="D37" s="157"/>
      <c r="E37" s="149"/>
      <c r="G37" s="159"/>
    </row>
    <row r="38" spans="2:8" x14ac:dyDescent="0.25">
      <c r="B38" s="148" t="s">
        <v>282</v>
      </c>
      <c r="C38" s="148" t="s">
        <v>271</v>
      </c>
      <c r="D38" s="149">
        <v>-597</v>
      </c>
      <c r="G38" s="176" t="s">
        <v>296</v>
      </c>
    </row>
    <row r="39" spans="2:8" x14ac:dyDescent="0.25">
      <c r="B39" s="148" t="s">
        <v>298</v>
      </c>
      <c r="C39" s="148" t="s">
        <v>292</v>
      </c>
      <c r="D39" s="149">
        <v>-293</v>
      </c>
      <c r="E39" s="111"/>
      <c r="G39" s="176" t="s">
        <v>314</v>
      </c>
    </row>
    <row r="40" spans="2:8" x14ac:dyDescent="0.25">
      <c r="B40" s="4" t="s">
        <v>319</v>
      </c>
      <c r="C40" s="4" t="s">
        <v>313</v>
      </c>
      <c r="D40" s="149">
        <v>-277</v>
      </c>
      <c r="E40" s="111"/>
      <c r="G40" s="203" t="s">
        <v>326</v>
      </c>
    </row>
    <row r="41" spans="2:8" x14ac:dyDescent="0.25">
      <c r="B41" s="4" t="s">
        <v>322</v>
      </c>
      <c r="C41" s="148" t="s">
        <v>331</v>
      </c>
      <c r="D41" s="205">
        <v>-133</v>
      </c>
      <c r="E41" s="120"/>
      <c r="G41" s="203" t="s">
        <v>344</v>
      </c>
    </row>
    <row r="42" spans="2:8" ht="13" x14ac:dyDescent="0.3">
      <c r="C42" s="212" t="s">
        <v>335</v>
      </c>
      <c r="D42" s="124">
        <f>SUM(D38:D41)</f>
        <v>-1300</v>
      </c>
      <c r="E42" s="111"/>
      <c r="G42" s="186"/>
    </row>
    <row r="43" spans="2:8" ht="13" x14ac:dyDescent="0.3">
      <c r="D43" s="124"/>
      <c r="E43" s="111"/>
      <c r="G43" s="186"/>
    </row>
    <row r="44" spans="2:8" s="14" customFormat="1" x14ac:dyDescent="0.35">
      <c r="B44" s="14" t="s">
        <v>336</v>
      </c>
      <c r="C44" s="153" t="s">
        <v>337</v>
      </c>
      <c r="D44" s="127">
        <v>-94</v>
      </c>
      <c r="E44" s="197"/>
      <c r="G44" s="302" t="s">
        <v>353</v>
      </c>
      <c r="H44" s="301"/>
    </row>
    <row r="45" spans="2:8" s="14" customFormat="1" x14ac:dyDescent="0.35">
      <c r="B45" s="14" t="s">
        <v>349</v>
      </c>
      <c r="C45" s="153" t="s">
        <v>348</v>
      </c>
      <c r="D45" s="127">
        <v>-109</v>
      </c>
      <c r="E45" s="197">
        <f>D34+D32+D35+D38+D39+D40+D41+D44+D45</f>
        <v>-2156</v>
      </c>
      <c r="G45" s="302" t="s">
        <v>362</v>
      </c>
      <c r="H45" s="301"/>
    </row>
    <row r="46" spans="2:8" s="14" customFormat="1" x14ac:dyDescent="0.25">
      <c r="B46" s="4" t="s">
        <v>355</v>
      </c>
      <c r="C46" s="153" t="s">
        <v>348</v>
      </c>
      <c r="D46" s="127">
        <v>-59</v>
      </c>
      <c r="E46" s="197">
        <f>D46</f>
        <v>-59</v>
      </c>
      <c r="G46" s="240" t="s">
        <v>361</v>
      </c>
      <c r="H46" s="236"/>
    </row>
    <row r="47" spans="2:8" s="14" customFormat="1" x14ac:dyDescent="0.25">
      <c r="B47" s="4"/>
      <c r="C47" s="153"/>
      <c r="D47" s="127"/>
      <c r="E47" s="197"/>
      <c r="G47" s="240"/>
      <c r="H47" s="236"/>
    </row>
    <row r="48" spans="2:8" s="14" customFormat="1" x14ac:dyDescent="0.35">
      <c r="B48" s="14" t="s">
        <v>397</v>
      </c>
      <c r="C48" s="153" t="s">
        <v>396</v>
      </c>
      <c r="D48" s="197">
        <v>-483</v>
      </c>
      <c r="E48" s="127">
        <f>D48</f>
        <v>-483</v>
      </c>
      <c r="G48" s="302" t="s">
        <v>401</v>
      </c>
      <c r="H48" s="301"/>
    </row>
    <row r="49" spans="2:12" s="14" customFormat="1" ht="26" x14ac:dyDescent="0.35">
      <c r="B49" s="14" t="s">
        <v>404</v>
      </c>
      <c r="C49" s="153" t="s">
        <v>398</v>
      </c>
      <c r="D49" s="127">
        <f>-99.9999914877626-27-150</f>
        <v>-276.9999914877626</v>
      </c>
      <c r="E49" s="127">
        <f>D49</f>
        <v>-276.9999914877626</v>
      </c>
      <c r="G49" s="285" t="s">
        <v>415</v>
      </c>
      <c r="H49" s="236"/>
    </row>
    <row r="50" spans="2:12" ht="13" x14ac:dyDescent="0.3">
      <c r="C50" s="228" t="s">
        <v>390</v>
      </c>
      <c r="D50" s="213">
        <f>+D3+D4+D6+D8+D9+D12+D13+D16+D17+D20+D22+D23+D26+D27+D30+D32+D31+D34+D35+D38+D39+D40+D41+D44+D45+D46+D48+D49</f>
        <v>-12136.999991487763</v>
      </c>
      <c r="E50" s="213">
        <f>SUM(E3:E49)</f>
        <v>-12136.999991487763</v>
      </c>
    </row>
    <row r="51" spans="2:12" ht="13" x14ac:dyDescent="0.3">
      <c r="C51" s="89"/>
      <c r="D51" s="86"/>
      <c r="E51" s="86"/>
    </row>
    <row r="53" spans="2:12" s="14" customFormat="1" x14ac:dyDescent="0.35">
      <c r="B53" s="298" t="s">
        <v>121</v>
      </c>
      <c r="C53" s="298"/>
      <c r="D53" s="90">
        <v>-1196</v>
      </c>
      <c r="E53" s="90"/>
      <c r="G53" s="14" t="s">
        <v>123</v>
      </c>
    </row>
    <row r="54" spans="2:12" s="14" customFormat="1" ht="5.25" customHeight="1" x14ac:dyDescent="0.35">
      <c r="D54" s="90"/>
      <c r="E54" s="90"/>
    </row>
    <row r="55" spans="2:12" s="14" customFormat="1" x14ac:dyDescent="0.35">
      <c r="B55" s="14" t="s">
        <v>122</v>
      </c>
      <c r="D55" s="152">
        <f>-284-28</f>
        <v>-312</v>
      </c>
      <c r="E55" s="152"/>
      <c r="F55" s="153"/>
      <c r="G55" s="153" t="s">
        <v>123</v>
      </c>
    </row>
    <row r="56" spans="2:12" s="14" customFormat="1" x14ac:dyDescent="0.25">
      <c r="B56" s="14" t="s">
        <v>233</v>
      </c>
      <c r="D56" s="152">
        <v>-332</v>
      </c>
      <c r="E56" s="152"/>
      <c r="F56" s="153"/>
      <c r="G56" s="153" t="s">
        <v>221</v>
      </c>
      <c r="H56" s="88"/>
    </row>
    <row r="57" spans="2:12" s="14" customFormat="1" x14ac:dyDescent="0.35">
      <c r="B57" s="14" t="s">
        <v>283</v>
      </c>
      <c r="D57" s="152">
        <v>-185</v>
      </c>
      <c r="E57" s="152"/>
      <c r="F57" s="153"/>
      <c r="G57" s="300" t="s">
        <v>285</v>
      </c>
      <c r="H57" s="300"/>
      <c r="I57" s="300"/>
      <c r="J57" s="300"/>
      <c r="K57" s="300"/>
      <c r="L57" s="300"/>
    </row>
    <row r="58" spans="2:12" s="14" customFormat="1" x14ac:dyDescent="0.35">
      <c r="B58" s="14" t="s">
        <v>284</v>
      </c>
      <c r="D58" s="173">
        <v>-184</v>
      </c>
      <c r="E58" s="90"/>
      <c r="G58" s="300"/>
      <c r="H58" s="300"/>
      <c r="I58" s="300"/>
      <c r="J58" s="300"/>
      <c r="K58" s="300"/>
      <c r="L58" s="300"/>
    </row>
    <row r="59" spans="2:12" s="14" customFormat="1" ht="13" x14ac:dyDescent="0.35">
      <c r="B59" s="14" t="s">
        <v>303</v>
      </c>
      <c r="D59" s="193">
        <v>-200</v>
      </c>
      <c r="E59" s="190"/>
      <c r="G59" s="301" t="s">
        <v>304</v>
      </c>
      <c r="H59" s="301"/>
      <c r="I59" s="301"/>
      <c r="J59" s="301"/>
      <c r="K59" s="301"/>
      <c r="L59" s="188"/>
    </row>
    <row r="60" spans="2:12" s="14" customFormat="1" ht="13" x14ac:dyDescent="0.3">
      <c r="B60" s="14" t="s">
        <v>323</v>
      </c>
      <c r="D60" s="173">
        <v>-193</v>
      </c>
      <c r="E60" s="186"/>
      <c r="G60" s="301"/>
      <c r="H60" s="301"/>
      <c r="I60" s="301"/>
      <c r="J60" s="301"/>
      <c r="K60" s="301"/>
      <c r="L60" s="188"/>
    </row>
    <row r="61" spans="2:12" s="14" customFormat="1" x14ac:dyDescent="0.35">
      <c r="B61" s="153" t="s">
        <v>369</v>
      </c>
      <c r="C61" s="153"/>
      <c r="D61" s="173">
        <v>-210.13461662500004</v>
      </c>
      <c r="E61" s="240"/>
      <c r="G61" s="297" t="s">
        <v>379</v>
      </c>
      <c r="H61" s="236"/>
      <c r="I61" s="236"/>
      <c r="J61" s="236"/>
      <c r="K61" s="236"/>
      <c r="L61" s="188"/>
    </row>
    <row r="62" spans="2:12" s="14" customFormat="1" x14ac:dyDescent="0.35">
      <c r="B62" s="153" t="s">
        <v>368</v>
      </c>
      <c r="C62" s="153"/>
      <c r="D62" s="257">
        <v>-211</v>
      </c>
      <c r="E62" s="240"/>
      <c r="G62" s="297"/>
      <c r="H62" s="236"/>
      <c r="I62" s="236"/>
      <c r="J62" s="236"/>
      <c r="K62" s="236"/>
      <c r="L62" s="188"/>
    </row>
    <row r="63" spans="2:12" s="14" customFormat="1" x14ac:dyDescent="0.35">
      <c r="B63" s="153" t="s">
        <v>383</v>
      </c>
      <c r="C63" s="153"/>
      <c r="D63" s="173">
        <v>-114</v>
      </c>
      <c r="E63" s="240"/>
      <c r="G63" s="303" t="s">
        <v>380</v>
      </c>
      <c r="H63" s="236"/>
      <c r="I63" s="236"/>
      <c r="J63" s="236"/>
      <c r="K63" s="236"/>
      <c r="L63" s="188"/>
    </row>
    <row r="64" spans="2:12" s="14" customFormat="1" x14ac:dyDescent="0.35">
      <c r="B64" s="153" t="s">
        <v>391</v>
      </c>
      <c r="C64" s="153"/>
      <c r="D64" s="173">
        <v>-114</v>
      </c>
      <c r="E64" s="240"/>
      <c r="G64" s="303"/>
      <c r="H64" s="236"/>
      <c r="I64" s="236"/>
      <c r="J64" s="236"/>
      <c r="K64" s="236"/>
      <c r="L64" s="188"/>
    </row>
    <row r="65" spans="2:12" s="14" customFormat="1" ht="13" thickBot="1" x14ac:dyDescent="0.4">
      <c r="B65" s="153" t="s">
        <v>400</v>
      </c>
      <c r="C65" s="153"/>
      <c r="D65" s="287">
        <f>-0.15*'Shares issued, TS &amp; outstanding'!E95/10^6</f>
        <v>-112.60282095000001</v>
      </c>
      <c r="E65" s="284" t="s">
        <v>414</v>
      </c>
      <c r="G65" s="303"/>
      <c r="H65" s="236"/>
      <c r="I65" s="236"/>
      <c r="J65" s="236"/>
      <c r="K65" s="236"/>
      <c r="L65" s="188"/>
    </row>
    <row r="66" spans="2:12" s="14" customFormat="1" ht="13.5" thickTop="1" x14ac:dyDescent="0.3">
      <c r="B66" s="85" t="s">
        <v>216</v>
      </c>
      <c r="C66" s="4"/>
      <c r="D66" s="172" t="s">
        <v>405</v>
      </c>
      <c r="E66" s="90"/>
      <c r="F66" s="264"/>
      <c r="G66" s="234"/>
      <c r="H66" s="234"/>
      <c r="I66" s="234"/>
      <c r="J66" s="234"/>
      <c r="K66" s="234"/>
      <c r="L66" s="188"/>
    </row>
    <row r="67" spans="2:12" s="14" customFormat="1" x14ac:dyDescent="0.35">
      <c r="D67" s="90"/>
      <c r="E67" s="90"/>
      <c r="G67" s="188"/>
      <c r="H67" s="188"/>
    </row>
    <row r="68" spans="2:12" s="14" customFormat="1" ht="14" x14ac:dyDescent="0.3">
      <c r="B68" s="78"/>
      <c r="C68" s="4"/>
      <c r="D68" s="4"/>
      <c r="E68" s="4"/>
      <c r="F68" s="260"/>
      <c r="G68" s="4"/>
      <c r="H68" s="188"/>
    </row>
    <row r="69" spans="2:12" s="14" customFormat="1" x14ac:dyDescent="0.25">
      <c r="C69" s="6"/>
      <c r="D69" s="87"/>
      <c r="E69" s="4"/>
      <c r="F69" s="87"/>
      <c r="G69" s="4"/>
      <c r="H69" s="188"/>
    </row>
    <row r="70" spans="2:12" s="14" customFormat="1" x14ac:dyDescent="0.25">
      <c r="C70" s="6"/>
      <c r="D70" s="87"/>
      <c r="E70" s="87"/>
      <c r="F70" s="4"/>
      <c r="G70" s="4"/>
    </row>
    <row r="71" spans="2:12" x14ac:dyDescent="0.25">
      <c r="C71" s="6"/>
    </row>
    <row r="72" spans="2:12" ht="21.75" customHeight="1" x14ac:dyDescent="0.25">
      <c r="E72" s="259"/>
    </row>
    <row r="74" spans="2:12" x14ac:dyDescent="0.25">
      <c r="E74" s="260"/>
    </row>
    <row r="75" spans="2:12" ht="13" x14ac:dyDescent="0.3">
      <c r="E75" s="210"/>
    </row>
    <row r="76" spans="2:12" x14ac:dyDescent="0.25">
      <c r="D76" s="88"/>
      <c r="E76" s="209"/>
    </row>
    <row r="77" spans="2:12" x14ac:dyDescent="0.25">
      <c r="D77" s="88"/>
      <c r="E77" s="209"/>
    </row>
    <row r="78" spans="2:12" x14ac:dyDescent="0.25">
      <c r="D78" s="87"/>
    </row>
    <row r="79" spans="2:12" x14ac:dyDescent="0.25">
      <c r="E79" s="87"/>
    </row>
  </sheetData>
  <mergeCells count="9">
    <mergeCell ref="G63:G65"/>
    <mergeCell ref="G61:G62"/>
    <mergeCell ref="B53:C53"/>
    <mergeCell ref="G30:I30"/>
    <mergeCell ref="G57:L58"/>
    <mergeCell ref="G59:K60"/>
    <mergeCell ref="G44:H44"/>
    <mergeCell ref="G45:H45"/>
    <mergeCell ref="G48:H48"/>
  </mergeCells>
  <phoneticPr fontId="21" type="noConversion"/>
  <pageMargins left="0.7" right="0.7" top="0.75" bottom="0.75" header="0.3" footer="0.3"/>
  <pageSetup paperSize="9" scale="56"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H98"/>
  <sheetViews>
    <sheetView showGridLines="0" zoomScaleNormal="100" zoomScaleSheetLayoutView="85" workbookViewId="0">
      <pane xSplit="2" ySplit="13" topLeftCell="C52" activePane="bottomRight" state="frozen"/>
      <selection pane="topRight" activeCell="C1" sqref="C1"/>
      <selection pane="bottomLeft" activeCell="A14" sqref="A14"/>
      <selection pane="bottomRight" activeCell="C93" sqref="C93"/>
    </sheetView>
  </sheetViews>
  <sheetFormatPr defaultColWidth="9.1796875" defaultRowHeight="14" outlineLevelRow="1" x14ac:dyDescent="0.3"/>
  <cols>
    <col min="1" max="1" width="6" style="30" bestFit="1" customWidth="1"/>
    <col min="2" max="2" width="63.54296875" style="30" customWidth="1"/>
    <col min="3" max="4" width="19.1796875" style="30" customWidth="1"/>
    <col min="5" max="5" width="21.81640625" style="30" customWidth="1"/>
    <col min="6" max="6" width="13.81640625" style="30" customWidth="1"/>
    <col min="7" max="7" width="41" style="30" bestFit="1" customWidth="1"/>
    <col min="8" max="8" width="34.1796875" style="30" customWidth="1"/>
    <col min="9" max="9" width="9.453125" style="30" bestFit="1" customWidth="1"/>
    <col min="10" max="10" width="12.1796875" style="30" bestFit="1" customWidth="1"/>
    <col min="11" max="11" width="11.7265625" style="30" bestFit="1" customWidth="1"/>
    <col min="12" max="12" width="10.26953125" style="30" bestFit="1" customWidth="1"/>
    <col min="13" max="13" width="10.54296875" style="30" bestFit="1" customWidth="1"/>
    <col min="14" max="14" width="9.1796875" style="30" customWidth="1"/>
    <col min="15" max="15" width="1.54296875" style="30" customWidth="1"/>
    <col min="16" max="16" width="10.54296875" style="30" bestFit="1" customWidth="1"/>
    <col min="17" max="16384" width="9.1796875" style="30"/>
  </cols>
  <sheetData>
    <row r="1" spans="2:8" ht="28" x14ac:dyDescent="0.3">
      <c r="B1" s="28" t="s">
        <v>124</v>
      </c>
      <c r="C1" s="29" t="s">
        <v>125</v>
      </c>
      <c r="D1" s="29" t="s">
        <v>126</v>
      </c>
      <c r="E1" s="29" t="s">
        <v>127</v>
      </c>
    </row>
    <row r="2" spans="2:8" hidden="1" outlineLevel="1" x14ac:dyDescent="0.3">
      <c r="B2" s="31" t="s">
        <v>128</v>
      </c>
      <c r="C2" s="32">
        <v>1021903623</v>
      </c>
      <c r="D2" s="32">
        <v>-9824202</v>
      </c>
      <c r="E2" s="32">
        <f>+C2+D2</f>
        <v>1012079421</v>
      </c>
      <c r="F2" s="33"/>
    </row>
    <row r="3" spans="2:8" hidden="1" outlineLevel="1" x14ac:dyDescent="0.3">
      <c r="B3" s="30" t="s">
        <v>129</v>
      </c>
      <c r="C3" s="34">
        <v>0</v>
      </c>
      <c r="D3" s="34">
        <v>106346</v>
      </c>
      <c r="E3" s="34">
        <f t="shared" ref="E3:E20" si="0">+C3+D3</f>
        <v>106346</v>
      </c>
      <c r="F3" s="33"/>
    </row>
    <row r="4" spans="2:8" hidden="1" outlineLevel="1" x14ac:dyDescent="0.3">
      <c r="B4" s="31" t="s">
        <v>130</v>
      </c>
      <c r="C4" s="32">
        <f>SUM(C2:C3)</f>
        <v>1021903623</v>
      </c>
      <c r="D4" s="32">
        <f>SUM(D2:D3)</f>
        <v>-9717856</v>
      </c>
      <c r="E4" s="32">
        <f t="shared" ref="E4:E6" si="1">+C4+D4</f>
        <v>1012185767</v>
      </c>
      <c r="F4" s="33"/>
      <c r="H4" s="43"/>
    </row>
    <row r="5" spans="2:8" hidden="1" outlineLevel="1" x14ac:dyDescent="0.3">
      <c r="B5" s="30" t="s">
        <v>131</v>
      </c>
      <c r="C5" s="35">
        <v>80906149</v>
      </c>
      <c r="D5" s="35">
        <v>0</v>
      </c>
      <c r="E5" s="35">
        <f t="shared" si="1"/>
        <v>80906149</v>
      </c>
      <c r="F5" s="33"/>
    </row>
    <row r="6" spans="2:8" hidden="1" outlineLevel="1" x14ac:dyDescent="0.3">
      <c r="B6" s="30" t="s">
        <v>129</v>
      </c>
      <c r="C6" s="36"/>
      <c r="D6" s="34">
        <v>3399</v>
      </c>
      <c r="E6" s="34">
        <f t="shared" si="1"/>
        <v>3399</v>
      </c>
      <c r="F6" s="33"/>
    </row>
    <row r="7" spans="2:8" hidden="1" outlineLevel="1" x14ac:dyDescent="0.3">
      <c r="B7" s="31" t="s">
        <v>132</v>
      </c>
      <c r="C7" s="32">
        <v>1102809772</v>
      </c>
      <c r="D7" s="32">
        <v>-9714457</v>
      </c>
      <c r="E7" s="32">
        <f t="shared" ref="E7:E9" si="2">+C7+D7</f>
        <v>1093095315</v>
      </c>
      <c r="F7" s="33"/>
    </row>
    <row r="8" spans="2:8" hidden="1" outlineLevel="1" x14ac:dyDescent="0.3">
      <c r="B8" s="30" t="s">
        <v>133</v>
      </c>
      <c r="C8" s="33">
        <v>0</v>
      </c>
      <c r="D8" s="33">
        <v>-4559734</v>
      </c>
      <c r="E8" s="35">
        <f t="shared" si="2"/>
        <v>-4559734</v>
      </c>
      <c r="F8" s="33"/>
    </row>
    <row r="9" spans="2:8" hidden="1" outlineLevel="1" x14ac:dyDescent="0.3">
      <c r="B9" s="30" t="s">
        <v>129</v>
      </c>
      <c r="C9" s="36"/>
      <c r="D9" s="36">
        <v>22855</v>
      </c>
      <c r="E9" s="34">
        <f t="shared" si="2"/>
        <v>22855</v>
      </c>
      <c r="F9" s="33"/>
    </row>
    <row r="10" spans="2:8" hidden="1" outlineLevel="1" x14ac:dyDescent="0.3">
      <c r="B10" s="31" t="s">
        <v>134</v>
      </c>
      <c r="C10" s="32">
        <v>1102809772</v>
      </c>
      <c r="D10" s="32">
        <v>-14251336</v>
      </c>
      <c r="E10" s="32">
        <f t="shared" ref="E10" si="3">+C10+D10</f>
        <v>1088558436</v>
      </c>
      <c r="F10" s="33"/>
    </row>
    <row r="11" spans="2:8" hidden="1" outlineLevel="1" x14ac:dyDescent="0.3">
      <c r="B11" s="30" t="s">
        <v>135</v>
      </c>
      <c r="C11" s="33">
        <v>0</v>
      </c>
      <c r="D11" s="33">
        <f>-35636253-D8</f>
        <v>-31076519</v>
      </c>
      <c r="E11" s="35">
        <f t="shared" si="0"/>
        <v>-31076519</v>
      </c>
      <c r="F11" s="33"/>
    </row>
    <row r="12" spans="2:8" hidden="1" outlineLevel="1" x14ac:dyDescent="0.3">
      <c r="B12" s="30" t="s">
        <v>136</v>
      </c>
      <c r="C12" s="33">
        <v>0</v>
      </c>
      <c r="D12" s="33">
        <v>22653933</v>
      </c>
      <c r="E12" s="35">
        <f t="shared" si="0"/>
        <v>22653933</v>
      </c>
      <c r="F12" s="33"/>
    </row>
    <row r="13" spans="2:8" hidden="1" outlineLevel="1" x14ac:dyDescent="0.3">
      <c r="B13" s="30" t="s">
        <v>129</v>
      </c>
      <c r="C13" s="36"/>
      <c r="D13" s="36">
        <v>598563</v>
      </c>
      <c r="E13" s="34">
        <f t="shared" si="0"/>
        <v>598563</v>
      </c>
      <c r="F13" s="33"/>
    </row>
    <row r="14" spans="2:8" collapsed="1" x14ac:dyDescent="0.3">
      <c r="B14" s="31" t="s">
        <v>137</v>
      </c>
      <c r="C14" s="32">
        <v>1102809772</v>
      </c>
      <c r="D14" s="32">
        <v>-22075359</v>
      </c>
      <c r="E14" s="32">
        <f t="shared" si="0"/>
        <v>1080734413</v>
      </c>
      <c r="F14" s="33"/>
    </row>
    <row r="15" spans="2:8" x14ac:dyDescent="0.3">
      <c r="B15" s="30" t="s">
        <v>76</v>
      </c>
      <c r="C15" s="33"/>
      <c r="D15" s="33">
        <v>-27113321</v>
      </c>
      <c r="E15" s="35">
        <f t="shared" si="0"/>
        <v>-27113321</v>
      </c>
      <c r="F15" s="33"/>
    </row>
    <row r="16" spans="2:8" x14ac:dyDescent="0.3">
      <c r="B16" s="30" t="s">
        <v>129</v>
      </c>
      <c r="C16" s="36">
        <v>0</v>
      </c>
      <c r="D16" s="36">
        <v>138323</v>
      </c>
      <c r="E16" s="34">
        <f>+C16+D16</f>
        <v>138323</v>
      </c>
      <c r="F16" s="33"/>
    </row>
    <row r="17" spans="2:6" x14ac:dyDescent="0.3">
      <c r="B17" s="31" t="s">
        <v>138</v>
      </c>
      <c r="C17" s="32">
        <v>1102809772</v>
      </c>
      <c r="D17" s="32">
        <v>-49050357</v>
      </c>
      <c r="E17" s="32">
        <f t="shared" si="0"/>
        <v>1053759415</v>
      </c>
      <c r="F17" s="33"/>
    </row>
    <row r="18" spans="2:6" x14ac:dyDescent="0.3">
      <c r="B18" s="30" t="s">
        <v>139</v>
      </c>
      <c r="C18" s="33"/>
      <c r="D18" s="37">
        <v>-17847057</v>
      </c>
      <c r="E18" s="35">
        <f>+C18+D18</f>
        <v>-17847057</v>
      </c>
      <c r="F18" s="33"/>
    </row>
    <row r="19" spans="2:6" x14ac:dyDescent="0.3">
      <c r="B19" s="30" t="s">
        <v>140</v>
      </c>
      <c r="D19" s="38">
        <v>-17253100</v>
      </c>
      <c r="E19" s="35">
        <f>+C19+D19</f>
        <v>-17253100</v>
      </c>
    </row>
    <row r="20" spans="2:6" x14ac:dyDescent="0.3">
      <c r="B20" s="30" t="s">
        <v>129</v>
      </c>
      <c r="C20" s="36"/>
      <c r="D20" s="39">
        <v>546856</v>
      </c>
      <c r="E20" s="34">
        <f t="shared" si="0"/>
        <v>546856</v>
      </c>
      <c r="F20" s="33"/>
    </row>
    <row r="21" spans="2:6" x14ac:dyDescent="0.3">
      <c r="B21" s="31" t="s">
        <v>141</v>
      </c>
      <c r="C21" s="32">
        <v>1102809772</v>
      </c>
      <c r="D21" s="32">
        <v>-83603658</v>
      </c>
      <c r="E21" s="32">
        <f t="shared" ref="E21:E26" si="4">+C21+D21</f>
        <v>1019206114</v>
      </c>
      <c r="F21" s="33"/>
    </row>
    <row r="22" spans="2:6" x14ac:dyDescent="0.3">
      <c r="B22" s="40" t="s">
        <v>142</v>
      </c>
      <c r="C22" s="35"/>
      <c r="D22" s="35">
        <v>-7205424</v>
      </c>
      <c r="E22" s="35">
        <f>+C22+D22</f>
        <v>-7205424</v>
      </c>
      <c r="F22" s="33"/>
    </row>
    <row r="23" spans="2:6" x14ac:dyDescent="0.3">
      <c r="B23" s="40" t="s">
        <v>143</v>
      </c>
      <c r="C23" s="35"/>
      <c r="D23" s="35">
        <v>-42299224</v>
      </c>
      <c r="E23" s="35">
        <f>+C23+D23</f>
        <v>-42299224</v>
      </c>
      <c r="F23" s="33"/>
    </row>
    <row r="24" spans="2:6" x14ac:dyDescent="0.3">
      <c r="B24" s="41" t="s">
        <v>144</v>
      </c>
      <c r="C24" s="35">
        <v>-70000000</v>
      </c>
      <c r="D24" s="35">
        <f>-C24</f>
        <v>70000000</v>
      </c>
      <c r="E24" s="35">
        <f>+C24+D24</f>
        <v>0</v>
      </c>
      <c r="F24" s="33"/>
    </row>
    <row r="25" spans="2:6" x14ac:dyDescent="0.3">
      <c r="B25" s="41" t="s">
        <v>145</v>
      </c>
      <c r="C25" s="35">
        <v>-50000000</v>
      </c>
      <c r="D25" s="35">
        <f>-C25</f>
        <v>50000000</v>
      </c>
      <c r="E25" s="35">
        <f>+C25+D25</f>
        <v>0</v>
      </c>
      <c r="F25" s="33"/>
    </row>
    <row r="26" spans="2:6" x14ac:dyDescent="0.3">
      <c r="B26" s="30" t="s">
        <v>129</v>
      </c>
      <c r="C26" s="34"/>
      <c r="D26" s="34">
        <v>96534</v>
      </c>
      <c r="E26" s="34">
        <f t="shared" si="4"/>
        <v>96534</v>
      </c>
      <c r="F26" s="33"/>
    </row>
    <row r="27" spans="2:6" x14ac:dyDescent="0.3">
      <c r="B27" s="31" t="s">
        <v>146</v>
      </c>
      <c r="C27" s="32">
        <v>982809772</v>
      </c>
      <c r="D27" s="32">
        <f>-12211712-800060</f>
        <v>-13011772</v>
      </c>
      <c r="E27" s="32">
        <f t="shared" ref="E27:E34" si="5">+C27+D27</f>
        <v>969798000</v>
      </c>
      <c r="F27" s="33"/>
    </row>
    <row r="28" spans="2:6" x14ac:dyDescent="0.3">
      <c r="B28" s="30" t="s">
        <v>147</v>
      </c>
      <c r="C28" s="35"/>
      <c r="D28" s="35">
        <f>-67404066-D23</f>
        <v>-25104842</v>
      </c>
      <c r="E28" s="35">
        <f>+C28+D28</f>
        <v>-25104842</v>
      </c>
      <c r="F28" s="33"/>
    </row>
    <row r="29" spans="2:6" x14ac:dyDescent="0.3">
      <c r="B29" s="30" t="s">
        <v>109</v>
      </c>
      <c r="C29" s="35"/>
      <c r="D29" s="35">
        <v>-34080049</v>
      </c>
      <c r="E29" s="35">
        <f>+C29+D29</f>
        <v>-34080049</v>
      </c>
      <c r="F29" s="33"/>
    </row>
    <row r="30" spans="2:6" x14ac:dyDescent="0.3">
      <c r="B30" s="30" t="s">
        <v>129</v>
      </c>
      <c r="C30" s="34"/>
      <c r="D30" s="34">
        <f>280033-1196-6422+7678</f>
        <v>280093</v>
      </c>
      <c r="E30" s="34">
        <f t="shared" si="5"/>
        <v>280093</v>
      </c>
      <c r="F30" s="33"/>
    </row>
    <row r="31" spans="2:6" x14ac:dyDescent="0.3">
      <c r="B31" s="31" t="s">
        <v>148</v>
      </c>
      <c r="C31" s="32">
        <v>982809772</v>
      </c>
      <c r="D31" s="32">
        <f>-71116570-800000</f>
        <v>-71916570</v>
      </c>
      <c r="E31" s="32">
        <f t="shared" si="5"/>
        <v>910893202</v>
      </c>
      <c r="F31" s="42"/>
    </row>
    <row r="32" spans="2:6" x14ac:dyDescent="0.3">
      <c r="B32" s="43" t="s">
        <v>149</v>
      </c>
      <c r="C32" s="33">
        <v>-45000000</v>
      </c>
      <c r="D32" s="35">
        <v>45000000</v>
      </c>
      <c r="E32" s="33">
        <f t="shared" si="5"/>
        <v>0</v>
      </c>
      <c r="F32" s="42"/>
    </row>
    <row r="33" spans="2:6" x14ac:dyDescent="0.3">
      <c r="B33" s="30" t="s">
        <v>150</v>
      </c>
      <c r="C33" s="33"/>
      <c r="D33" s="33">
        <v>-18265796</v>
      </c>
      <c r="E33" s="33">
        <f t="shared" si="5"/>
        <v>-18265796</v>
      </c>
      <c r="F33" s="42"/>
    </row>
    <row r="34" spans="2:6" x14ac:dyDescent="0.3">
      <c r="B34" s="30" t="s">
        <v>129</v>
      </c>
      <c r="C34" s="36"/>
      <c r="D34" s="36">
        <v>518234</v>
      </c>
      <c r="E34" s="36">
        <f t="shared" si="5"/>
        <v>518234</v>
      </c>
      <c r="F34" s="42"/>
    </row>
    <row r="35" spans="2:6" x14ac:dyDescent="0.3">
      <c r="B35" s="31" t="s">
        <v>151</v>
      </c>
      <c r="C35" s="32">
        <f>+SUM(C31:C34)</f>
        <v>937809772</v>
      </c>
      <c r="D35" s="32">
        <f t="shared" ref="D35:E35" si="6">+SUM(D31:D34)</f>
        <v>-44664132</v>
      </c>
      <c r="E35" s="32">
        <f t="shared" si="6"/>
        <v>893145640</v>
      </c>
    </row>
    <row r="36" spans="2:6" x14ac:dyDescent="0.3">
      <c r="B36" s="30" t="s">
        <v>152</v>
      </c>
      <c r="C36" s="33"/>
      <c r="D36" s="35">
        <f>-31751960-D33</f>
        <v>-13486164</v>
      </c>
      <c r="E36" s="35">
        <f t="shared" ref="E36:E42" si="7">+C36+D36</f>
        <v>-13486164</v>
      </c>
    </row>
    <row r="37" spans="2:6" x14ac:dyDescent="0.3">
      <c r="B37" s="30" t="s">
        <v>153</v>
      </c>
      <c r="C37" s="33"/>
      <c r="D37" s="35">
        <v>-33349597</v>
      </c>
      <c r="E37" s="35">
        <f t="shared" si="7"/>
        <v>-33349597</v>
      </c>
      <c r="F37" s="44"/>
    </row>
    <row r="38" spans="2:6" x14ac:dyDescent="0.3">
      <c r="B38" s="43" t="s">
        <v>154</v>
      </c>
      <c r="C38" s="33">
        <v>-60000000</v>
      </c>
      <c r="D38" s="35">
        <f>-C38</f>
        <v>60000000</v>
      </c>
      <c r="E38" s="33">
        <f t="shared" si="7"/>
        <v>0</v>
      </c>
      <c r="F38" s="44"/>
    </row>
    <row r="39" spans="2:6" x14ac:dyDescent="0.3">
      <c r="B39" s="30" t="s">
        <v>129</v>
      </c>
      <c r="C39" s="36"/>
      <c r="D39" s="45">
        <f>296421+16149</f>
        <v>312570</v>
      </c>
      <c r="E39" s="34">
        <f t="shared" si="7"/>
        <v>312570</v>
      </c>
      <c r="F39" s="44"/>
    </row>
    <row r="40" spans="2:6" x14ac:dyDescent="0.3">
      <c r="B40" s="31" t="s">
        <v>155</v>
      </c>
      <c r="C40" s="32">
        <f>SUM(C35:C39)</f>
        <v>877809772</v>
      </c>
      <c r="D40" s="32">
        <f>SUM(D35:D39)</f>
        <v>-31187323</v>
      </c>
      <c r="E40" s="32">
        <f>SUM(E35:E39)</f>
        <v>846622449</v>
      </c>
    </row>
    <row r="41" spans="2:6" x14ac:dyDescent="0.3">
      <c r="B41" s="30" t="s">
        <v>218</v>
      </c>
      <c r="D41" s="42">
        <f>-SUM('Share buyback program SBB '!E97:E105)</f>
        <v>-31049893</v>
      </c>
      <c r="E41" s="42">
        <f>+C41+D41</f>
        <v>-31049893</v>
      </c>
      <c r="F41" s="48"/>
    </row>
    <row r="42" spans="2:6" x14ac:dyDescent="0.3">
      <c r="B42" s="30" t="s">
        <v>129</v>
      </c>
      <c r="C42" s="105"/>
      <c r="D42" s="106">
        <v>21426</v>
      </c>
      <c r="E42" s="106">
        <f t="shared" si="7"/>
        <v>21426</v>
      </c>
    </row>
    <row r="43" spans="2:6" x14ac:dyDescent="0.3">
      <c r="B43" s="31" t="s">
        <v>200</v>
      </c>
      <c r="C43" s="32">
        <f>SUM(C40:C42)</f>
        <v>877809772</v>
      </c>
      <c r="D43" s="32">
        <f>SUM(D40:D42)</f>
        <v>-62215790</v>
      </c>
      <c r="E43" s="32">
        <f>SUM(E40:E42)</f>
        <v>815593982</v>
      </c>
    </row>
    <row r="44" spans="2:6" x14ac:dyDescent="0.3">
      <c r="B44" s="30" t="s">
        <v>219</v>
      </c>
      <c r="D44" s="42">
        <f>-SUM('Share buyback program SBB '!E92:E105)-D41</f>
        <v>-10276546</v>
      </c>
      <c r="E44" s="42">
        <f>+C44+D44</f>
        <v>-10276546</v>
      </c>
      <c r="F44" s="48"/>
    </row>
    <row r="45" spans="2:6" x14ac:dyDescent="0.3">
      <c r="B45" s="30" t="s">
        <v>129</v>
      </c>
      <c r="C45" s="105"/>
      <c r="D45" s="106">
        <v>20493</v>
      </c>
      <c r="E45" s="106">
        <f t="shared" ref="E45" si="8">+C45+D45</f>
        <v>20493</v>
      </c>
      <c r="F45" s="48"/>
    </row>
    <row r="46" spans="2:6" x14ac:dyDescent="0.3">
      <c r="B46" s="31" t="s">
        <v>217</v>
      </c>
      <c r="C46" s="32">
        <f>SUM(C43:C45)</f>
        <v>877809772</v>
      </c>
      <c r="D46" s="32">
        <f>SUM(D43:D45)</f>
        <v>-72471843</v>
      </c>
      <c r="E46" s="32">
        <f>SUM(E43:E45)</f>
        <v>805337929</v>
      </c>
    </row>
    <row r="47" spans="2:6" x14ac:dyDescent="0.3">
      <c r="B47" s="30" t="s">
        <v>220</v>
      </c>
      <c r="D47" s="42">
        <f>-SUM('Share buyback program SBB '!C85:C91)</f>
        <v>-19104941</v>
      </c>
      <c r="E47" s="42">
        <f>D47+C47</f>
        <v>-19104941</v>
      </c>
      <c r="F47" s="46"/>
    </row>
    <row r="48" spans="2:6" x14ac:dyDescent="0.3">
      <c r="B48" s="30" t="s">
        <v>129</v>
      </c>
      <c r="C48" s="105"/>
      <c r="D48" s="106">
        <v>720007</v>
      </c>
      <c r="E48" s="106">
        <f>D48+C48</f>
        <v>720007</v>
      </c>
      <c r="F48" s="46"/>
    </row>
    <row r="49" spans="2:8" x14ac:dyDescent="0.3">
      <c r="B49" s="31" t="s">
        <v>234</v>
      </c>
      <c r="C49" s="32">
        <f>SUM(C46:C48)</f>
        <v>877809772</v>
      </c>
      <c r="D49" s="32">
        <f>SUM(D46:D48)</f>
        <v>-90856777</v>
      </c>
      <c r="E49" s="32">
        <f>SUM(E46:E48)</f>
        <v>786952995</v>
      </c>
    </row>
    <row r="50" spans="2:8" x14ac:dyDescent="0.3">
      <c r="B50" s="43" t="s">
        <v>236</v>
      </c>
      <c r="C50" s="134"/>
      <c r="D50" s="137">
        <f>-SUM('Share buyback program SBB '!C80:C83)</f>
        <v>-5687909</v>
      </c>
      <c r="E50" s="42">
        <f t="shared" ref="E50:E55" si="9">D50+C50</f>
        <v>-5687909</v>
      </c>
      <c r="F50" s="46"/>
    </row>
    <row r="51" spans="2:8" x14ac:dyDescent="0.3">
      <c r="B51" s="43" t="s">
        <v>228</v>
      </c>
      <c r="C51" s="137">
        <v>-25000000</v>
      </c>
      <c r="D51" s="256">
        <v>25000000</v>
      </c>
      <c r="E51" s="42">
        <f t="shared" si="9"/>
        <v>0</v>
      </c>
      <c r="F51" s="46"/>
    </row>
    <row r="52" spans="2:8" x14ac:dyDescent="0.3">
      <c r="B52" s="43" t="s">
        <v>237</v>
      </c>
      <c r="C52" s="135"/>
      <c r="D52" s="137">
        <v>57166059</v>
      </c>
      <c r="E52" s="42">
        <f t="shared" si="9"/>
        <v>57166059</v>
      </c>
      <c r="F52" s="46"/>
    </row>
    <row r="53" spans="2:8" x14ac:dyDescent="0.3">
      <c r="B53" s="43" t="s">
        <v>129</v>
      </c>
      <c r="C53" s="136"/>
      <c r="D53" s="138">
        <v>812508</v>
      </c>
      <c r="E53" s="106">
        <f t="shared" si="9"/>
        <v>812508</v>
      </c>
      <c r="F53" s="46"/>
    </row>
    <row r="54" spans="2:8" x14ac:dyDescent="0.3">
      <c r="B54" s="31" t="s">
        <v>244</v>
      </c>
      <c r="C54" s="32">
        <f>SUM(C49:C53)</f>
        <v>852809772</v>
      </c>
      <c r="D54" s="32">
        <f>SUM(D49:D53)</f>
        <v>-13566119</v>
      </c>
      <c r="E54" s="32">
        <f>SUM(E49:E53)</f>
        <v>839243653</v>
      </c>
      <c r="F54" s="46"/>
    </row>
    <row r="55" spans="2:8" x14ac:dyDescent="0.3">
      <c r="B55" s="43" t="s">
        <v>249</v>
      </c>
      <c r="C55" s="134"/>
      <c r="D55" s="137">
        <f>-SUM('Share buyback program SBB '!E77:E79)</f>
        <v>-1400000</v>
      </c>
      <c r="E55" s="42">
        <f t="shared" si="9"/>
        <v>-1400000</v>
      </c>
      <c r="F55" s="46"/>
    </row>
    <row r="56" spans="2:8" x14ac:dyDescent="0.3">
      <c r="B56" s="43" t="s">
        <v>129</v>
      </c>
      <c r="C56" s="136"/>
      <c r="D56" s="138">
        <v>47303</v>
      </c>
      <c r="E56" s="106">
        <f t="shared" ref="E56" si="10">D56+C56</f>
        <v>47303</v>
      </c>
      <c r="F56" s="46"/>
    </row>
    <row r="57" spans="2:8" ht="14.5" x14ac:dyDescent="0.35">
      <c r="B57" s="31" t="s">
        <v>250</v>
      </c>
      <c r="C57" s="32">
        <f>SUM(C54:C56)</f>
        <v>852809772</v>
      </c>
      <c r="D57" s="32">
        <f t="shared" ref="D57:E57" si="11">SUM(D54:D56)</f>
        <v>-14918816</v>
      </c>
      <c r="E57" s="32">
        <f t="shared" si="11"/>
        <v>837890956</v>
      </c>
      <c r="F57" s="46"/>
      <c r="G57" s="158"/>
    </row>
    <row r="58" spans="2:8" x14ac:dyDescent="0.3">
      <c r="B58" s="43" t="s">
        <v>260</v>
      </c>
      <c r="C58" s="134"/>
      <c r="D58" s="137">
        <f>-SUM('Share buyback program SBB '!E72:E76)</f>
        <v>-19163145</v>
      </c>
      <c r="E58" s="42">
        <f t="shared" ref="E58:E65" si="12">D58+C58</f>
        <v>-19163145</v>
      </c>
      <c r="F58" s="46"/>
    </row>
    <row r="59" spans="2:8" x14ac:dyDescent="0.3">
      <c r="B59" s="43" t="s">
        <v>129</v>
      </c>
      <c r="C59" s="136"/>
      <c r="D59" s="138">
        <v>543945</v>
      </c>
      <c r="E59" s="106">
        <f t="shared" si="12"/>
        <v>543945</v>
      </c>
    </row>
    <row r="60" spans="2:8" x14ac:dyDescent="0.3">
      <c r="B60" s="31" t="s">
        <v>261</v>
      </c>
      <c r="C60" s="32">
        <f>SUM(C57:C59)</f>
        <v>852809772</v>
      </c>
      <c r="D60" s="32">
        <f t="shared" ref="D60:E60" si="13">SUM(D57:D59)</f>
        <v>-33538016</v>
      </c>
      <c r="E60" s="32">
        <f t="shared" si="13"/>
        <v>819271756</v>
      </c>
      <c r="F60" s="42"/>
      <c r="G60" s="214"/>
      <c r="H60" s="208"/>
    </row>
    <row r="61" spans="2:8" x14ac:dyDescent="0.3">
      <c r="B61" s="43" t="s">
        <v>288</v>
      </c>
      <c r="C61" s="134"/>
      <c r="D61" s="137">
        <f>-SUM('Share buyback program SBB '!C58:C70)</f>
        <v>-22524803</v>
      </c>
      <c r="E61" s="38">
        <f t="shared" si="12"/>
        <v>-22524803</v>
      </c>
    </row>
    <row r="62" spans="2:8" x14ac:dyDescent="0.3">
      <c r="B62" s="43" t="s">
        <v>129</v>
      </c>
      <c r="C62" s="134"/>
      <c r="D62" s="137">
        <v>577308</v>
      </c>
      <c r="E62" s="42">
        <f t="shared" si="12"/>
        <v>577308</v>
      </c>
    </row>
    <row r="63" spans="2:8" x14ac:dyDescent="0.3">
      <c r="B63" s="31" t="s">
        <v>278</v>
      </c>
      <c r="C63" s="174">
        <f t="shared" ref="C63:D63" si="14">SUM(C60:C62)</f>
        <v>852809772</v>
      </c>
      <c r="D63" s="174">
        <f t="shared" si="14"/>
        <v>-55485511</v>
      </c>
      <c r="E63" s="174">
        <f>SUM(E60:E62)</f>
        <v>797324261</v>
      </c>
    </row>
    <row r="64" spans="2:8" x14ac:dyDescent="0.3">
      <c r="B64" s="43" t="s">
        <v>293</v>
      </c>
      <c r="C64" s="134"/>
      <c r="D64" s="137">
        <f>-SUM('Share buyback program SBB '!C50:C57)</f>
        <v>-12163499</v>
      </c>
      <c r="E64" s="38">
        <f t="shared" si="12"/>
        <v>-12163499</v>
      </c>
    </row>
    <row r="65" spans="2:8" x14ac:dyDescent="0.3">
      <c r="B65" s="43" t="s">
        <v>129</v>
      </c>
      <c r="C65" s="134"/>
      <c r="D65" s="137">
        <v>227028</v>
      </c>
      <c r="E65" s="42">
        <f t="shared" si="12"/>
        <v>227028</v>
      </c>
    </row>
    <row r="66" spans="2:8" x14ac:dyDescent="0.3">
      <c r="B66" s="31" t="s">
        <v>305</v>
      </c>
      <c r="C66" s="174">
        <f t="shared" ref="C66:D66" si="15">SUM(C63:C65)</f>
        <v>852809772</v>
      </c>
      <c r="D66" s="174">
        <f t="shared" si="15"/>
        <v>-67421982</v>
      </c>
      <c r="E66" s="174">
        <f>SUM(E63:E65)</f>
        <v>785387790</v>
      </c>
    </row>
    <row r="67" spans="2:8" x14ac:dyDescent="0.3">
      <c r="B67" s="43" t="s">
        <v>315</v>
      </c>
      <c r="C67" s="134"/>
      <c r="D67" s="137">
        <f>-SUM('Share buyback program SBB '!C41:C49)</f>
        <v>-11926071</v>
      </c>
      <c r="E67" s="38">
        <f t="shared" ref="E67:E68" si="16">D67+C67</f>
        <v>-11926071</v>
      </c>
      <c r="G67" s="214"/>
    </row>
    <row r="68" spans="2:8" x14ac:dyDescent="0.3">
      <c r="B68" s="43" t="s">
        <v>129</v>
      </c>
      <c r="C68" s="134"/>
      <c r="D68" s="137">
        <v>40256</v>
      </c>
      <c r="E68" s="42">
        <f t="shared" si="16"/>
        <v>40256</v>
      </c>
    </row>
    <row r="69" spans="2:8" x14ac:dyDescent="0.3">
      <c r="B69" s="31" t="s">
        <v>320</v>
      </c>
      <c r="C69" s="174">
        <f t="shared" ref="C69:D69" si="17">SUM(C66:C68)</f>
        <v>852809772</v>
      </c>
      <c r="D69" s="174">
        <f t="shared" si="17"/>
        <v>-79307797</v>
      </c>
      <c r="E69" s="174">
        <f>SUM(E66:E68)</f>
        <v>773501975</v>
      </c>
      <c r="G69" s="214"/>
    </row>
    <row r="70" spans="2:8" x14ac:dyDescent="0.3">
      <c r="B70" s="43" t="s">
        <v>325</v>
      </c>
      <c r="C70" s="134"/>
      <c r="D70" s="137">
        <f>-SUM('Share buyback program SBB '!C36:C40)</f>
        <v>-5343014</v>
      </c>
      <c r="E70" s="38">
        <f t="shared" ref="E70:E71" si="18">D70+C70</f>
        <v>-5343014</v>
      </c>
    </row>
    <row r="71" spans="2:8" x14ac:dyDescent="0.3">
      <c r="B71" s="43" t="s">
        <v>129</v>
      </c>
      <c r="C71" s="134"/>
      <c r="D71" s="137">
        <v>387661</v>
      </c>
      <c r="E71" s="42">
        <f t="shared" si="18"/>
        <v>387661</v>
      </c>
    </row>
    <row r="72" spans="2:8" x14ac:dyDescent="0.3">
      <c r="B72" s="31" t="s">
        <v>324</v>
      </c>
      <c r="C72" s="174">
        <f t="shared" ref="C72:D72" si="19">SUM(C69:C71)</f>
        <v>852809772</v>
      </c>
      <c r="D72" s="174">
        <f t="shared" si="19"/>
        <v>-84263150</v>
      </c>
      <c r="E72" s="174">
        <f>SUM(E69:E71)</f>
        <v>768546622</v>
      </c>
      <c r="F72" s="46"/>
    </row>
    <row r="73" spans="2:8" x14ac:dyDescent="0.3">
      <c r="B73" s="43" t="s">
        <v>338</v>
      </c>
      <c r="C73" s="134"/>
      <c r="D73" s="137">
        <v>-5984000</v>
      </c>
      <c r="E73" s="42">
        <f>+D73+C73</f>
        <v>-5984000</v>
      </c>
      <c r="F73" s="46"/>
    </row>
    <row r="74" spans="2:8" x14ac:dyDescent="0.3">
      <c r="B74" s="43" t="s">
        <v>129</v>
      </c>
      <c r="C74" s="134"/>
      <c r="D74" s="137">
        <v>645335</v>
      </c>
      <c r="E74" s="42">
        <f>+D74+C74</f>
        <v>645335</v>
      </c>
      <c r="F74" s="46"/>
      <c r="H74" s="262"/>
    </row>
    <row r="75" spans="2:8" x14ac:dyDescent="0.3">
      <c r="B75" s="31" t="s">
        <v>339</v>
      </c>
      <c r="C75" s="174">
        <f t="shared" ref="C75:D75" si="20">SUM(C72:C74)</f>
        <v>852809772</v>
      </c>
      <c r="D75" s="174">
        <f t="shared" si="20"/>
        <v>-89601815</v>
      </c>
      <c r="E75" s="174">
        <f>SUM(E72:E74)</f>
        <v>763207957</v>
      </c>
      <c r="F75" s="46"/>
      <c r="H75" s="262"/>
    </row>
    <row r="76" spans="2:8" x14ac:dyDescent="0.3">
      <c r="B76" s="43" t="s">
        <v>350</v>
      </c>
      <c r="C76" s="134"/>
      <c r="D76" s="137">
        <v>-807559</v>
      </c>
      <c r="E76" s="42">
        <f t="shared" ref="E76:E78" si="21">+D76+C76</f>
        <v>-807559</v>
      </c>
      <c r="F76" s="46"/>
      <c r="H76" s="262"/>
    </row>
    <row r="77" spans="2:8" x14ac:dyDescent="0.3">
      <c r="B77" s="43" t="s">
        <v>351</v>
      </c>
      <c r="C77" s="134"/>
      <c r="D77" s="137">
        <v>-2000000</v>
      </c>
      <c r="E77" s="42">
        <f t="shared" si="21"/>
        <v>-2000000</v>
      </c>
      <c r="F77" s="46"/>
      <c r="H77" s="262"/>
    </row>
    <row r="78" spans="2:8" x14ac:dyDescent="0.3">
      <c r="B78" s="43" t="s">
        <v>129</v>
      </c>
      <c r="C78" s="134"/>
      <c r="D78" s="137">
        <v>89117</v>
      </c>
      <c r="E78" s="42">
        <f t="shared" si="21"/>
        <v>89117</v>
      </c>
      <c r="F78" s="46"/>
      <c r="H78" s="262"/>
    </row>
    <row r="79" spans="2:8" x14ac:dyDescent="0.3">
      <c r="B79" s="31" t="s">
        <v>354</v>
      </c>
      <c r="C79" s="174">
        <f t="shared" ref="C79:D79" si="22">SUM(C75:C78)</f>
        <v>852809772</v>
      </c>
      <c r="D79" s="174">
        <f t="shared" si="22"/>
        <v>-92320257</v>
      </c>
      <c r="E79" s="174">
        <f>SUM(E75:E78)</f>
        <v>760489515</v>
      </c>
      <c r="H79" s="262"/>
    </row>
    <row r="80" spans="2:8" x14ac:dyDescent="0.3">
      <c r="B80" s="43" t="s">
        <v>384</v>
      </c>
      <c r="C80" s="134"/>
      <c r="D80" s="137">
        <v>0</v>
      </c>
      <c r="E80" s="42">
        <f t="shared" ref="E80:E81" si="23">+D80+C80</f>
        <v>0</v>
      </c>
      <c r="F80" s="43" t="s">
        <v>364</v>
      </c>
      <c r="H80" s="262"/>
    </row>
    <row r="81" spans="2:8" x14ac:dyDescent="0.3">
      <c r="B81" s="43" t="s">
        <v>129</v>
      </c>
      <c r="C81" s="134"/>
      <c r="D81" s="137">
        <v>48681</v>
      </c>
      <c r="E81" s="42">
        <f t="shared" si="23"/>
        <v>48681</v>
      </c>
      <c r="F81" s="46"/>
      <c r="H81" s="263"/>
    </row>
    <row r="82" spans="2:8" x14ac:dyDescent="0.3">
      <c r="B82" s="31" t="s">
        <v>363</v>
      </c>
      <c r="C82" s="249">
        <f>SUM(C79:C81)</f>
        <v>852809772</v>
      </c>
      <c r="D82" s="174">
        <f t="shared" ref="D82:E82" si="24">SUM(D79:D81)</f>
        <v>-92271576</v>
      </c>
      <c r="E82" s="249">
        <f t="shared" si="24"/>
        <v>760538196</v>
      </c>
      <c r="H82" s="263"/>
    </row>
    <row r="83" spans="2:8" x14ac:dyDescent="0.3">
      <c r="B83" s="43" t="s">
        <v>384</v>
      </c>
      <c r="C83" s="134"/>
      <c r="D83" s="137">
        <v>0</v>
      </c>
      <c r="E83" s="42">
        <f t="shared" ref="E83:E94" si="25">D83+C83</f>
        <v>0</v>
      </c>
      <c r="F83" s="43" t="s">
        <v>370</v>
      </c>
    </row>
    <row r="84" spans="2:8" ht="14.5" x14ac:dyDescent="0.35">
      <c r="B84" s="43" t="s">
        <v>367</v>
      </c>
      <c r="C84" s="137">
        <v>-77809772</v>
      </c>
      <c r="D84" s="256">
        <f>-C84</f>
        <v>77809772</v>
      </c>
      <c r="E84" s="42">
        <f t="shared" si="25"/>
        <v>0</v>
      </c>
      <c r="F84" s="248" t="s">
        <v>385</v>
      </c>
    </row>
    <row r="85" spans="2:8" x14ac:dyDescent="0.3">
      <c r="B85" s="43" t="s">
        <v>129</v>
      </c>
      <c r="C85" s="134"/>
      <c r="D85" s="137">
        <v>587623</v>
      </c>
      <c r="E85" s="42">
        <f t="shared" si="25"/>
        <v>587623</v>
      </c>
      <c r="F85" s="46"/>
    </row>
    <row r="86" spans="2:8" x14ac:dyDescent="0.3">
      <c r="B86" s="31" t="s">
        <v>371</v>
      </c>
      <c r="C86" s="249">
        <f>SUM(C82:C85)</f>
        <v>775000000</v>
      </c>
      <c r="D86" s="174">
        <f t="shared" ref="D86:E86" si="26">SUM(D82:D85)</f>
        <v>-13874181</v>
      </c>
      <c r="E86" s="249">
        <f t="shared" si="26"/>
        <v>761125819</v>
      </c>
    </row>
    <row r="87" spans="2:8" x14ac:dyDescent="0.3">
      <c r="B87" s="43" t="s">
        <v>384</v>
      </c>
      <c r="C87" s="286">
        <v>0</v>
      </c>
      <c r="D87" s="137">
        <v>0</v>
      </c>
      <c r="E87" s="42">
        <f t="shared" si="25"/>
        <v>0</v>
      </c>
      <c r="F87" s="43" t="s">
        <v>381</v>
      </c>
    </row>
    <row r="88" spans="2:8" x14ac:dyDescent="0.3">
      <c r="B88" s="43" t="s">
        <v>129</v>
      </c>
      <c r="C88" s="137"/>
      <c r="D88" s="256">
        <v>809564</v>
      </c>
      <c r="E88" s="42">
        <f t="shared" si="25"/>
        <v>809564</v>
      </c>
      <c r="F88" s="46"/>
    </row>
    <row r="89" spans="2:8" x14ac:dyDescent="0.3">
      <c r="B89" s="31" t="s">
        <v>382</v>
      </c>
      <c r="C89" s="249">
        <f>SUM(C86:C88)</f>
        <v>775000000</v>
      </c>
      <c r="D89" s="174">
        <f t="shared" ref="D89:E89" si="27">SUM(D86:D88)</f>
        <v>-13064617</v>
      </c>
      <c r="E89" s="249">
        <f t="shared" si="27"/>
        <v>761935383</v>
      </c>
    </row>
    <row r="90" spans="2:8" x14ac:dyDescent="0.3">
      <c r="B90" s="43" t="s">
        <v>399</v>
      </c>
      <c r="C90" s="286">
        <v>0</v>
      </c>
      <c r="D90" s="137">
        <v>-8000000</v>
      </c>
      <c r="E90" s="42">
        <f t="shared" si="25"/>
        <v>-8000000</v>
      </c>
      <c r="F90" s="43"/>
    </row>
    <row r="91" spans="2:8" x14ac:dyDescent="0.3">
      <c r="B91" s="43" t="s">
        <v>129</v>
      </c>
      <c r="C91" s="137">
        <v>0</v>
      </c>
      <c r="D91" s="256">
        <v>106315</v>
      </c>
      <c r="E91" s="42">
        <f t="shared" si="25"/>
        <v>106315</v>
      </c>
      <c r="F91" s="46"/>
    </row>
    <row r="92" spans="2:8" x14ac:dyDescent="0.3">
      <c r="B92" s="31" t="s">
        <v>395</v>
      </c>
      <c r="C92" s="249">
        <f t="shared" ref="C92:D92" si="28">SUM(C89:C91)</f>
        <v>775000000</v>
      </c>
      <c r="D92" s="174">
        <f t="shared" si="28"/>
        <v>-20958302</v>
      </c>
      <c r="E92" s="249">
        <f>SUM(E89:E91)</f>
        <v>754041698</v>
      </c>
    </row>
    <row r="93" spans="2:8" x14ac:dyDescent="0.3">
      <c r="B93" s="43" t="s">
        <v>416</v>
      </c>
      <c r="C93" s="286">
        <v>0</v>
      </c>
      <c r="D93" s="137">
        <v>-3414936</v>
      </c>
      <c r="E93" s="42">
        <f t="shared" si="25"/>
        <v>-3414936</v>
      </c>
      <c r="F93" s="43"/>
    </row>
    <row r="94" spans="2:8" x14ac:dyDescent="0.3">
      <c r="B94" s="43" t="s">
        <v>129</v>
      </c>
      <c r="C94" s="137">
        <v>0</v>
      </c>
      <c r="D94" s="137">
        <v>58711</v>
      </c>
      <c r="E94" s="42">
        <f t="shared" si="25"/>
        <v>58711</v>
      </c>
      <c r="F94" s="46"/>
    </row>
    <row r="95" spans="2:8" x14ac:dyDescent="0.3">
      <c r="B95" s="31" t="s">
        <v>406</v>
      </c>
      <c r="C95" s="249">
        <f t="shared" ref="C95:D95" si="29">SUM(C92:C94)</f>
        <v>775000000</v>
      </c>
      <c r="D95" s="174">
        <f t="shared" si="29"/>
        <v>-24314527</v>
      </c>
      <c r="E95" s="249">
        <f>SUM(E92:E94)</f>
        <v>750685473</v>
      </c>
      <c r="F95" s="46" t="s">
        <v>156</v>
      </c>
    </row>
    <row r="96" spans="2:8" ht="23.25" customHeight="1" x14ac:dyDescent="0.3">
      <c r="B96" s="49" t="s">
        <v>87</v>
      </c>
      <c r="C96" s="189"/>
      <c r="D96" s="250"/>
    </row>
    <row r="97" spans="2:5" x14ac:dyDescent="0.3">
      <c r="B97" s="50" t="s">
        <v>157</v>
      </c>
      <c r="D97" s="47"/>
      <c r="E97" s="214"/>
    </row>
    <row r="98" spans="2:5" x14ac:dyDescent="0.3">
      <c r="D98" s="47"/>
      <c r="E98" s="47"/>
    </row>
  </sheetData>
  <hyperlinks>
    <hyperlink ref="F95" r:id="rId1" display="https://corporate.arcelormittal.com/investors/corporate-governance/shareholding-structure" xr:uid="{00000000-0004-0000-0200-000000000000}"/>
    <hyperlink ref="F84" r:id="rId2" xr:uid="{301C9F62-3321-461F-8660-8B8F6B317299}"/>
  </hyperlinks>
  <pageMargins left="0.25" right="0.25" top="0.75" bottom="0.75" header="0.3" footer="0.3"/>
  <pageSetup paperSize="9" scale="68" orientation="portrait" verticalDpi="360" r:id="rId3"/>
  <ignoredErrors>
    <ignoredError sqref="E43 E40 E49 E35 E54 E57 E60 E63:E69 E75 E79 E86:E90" formula="1"/>
    <ignoredError sqref="D47"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21"/>
  <sheetViews>
    <sheetView showGridLines="0" zoomScaleNormal="100" workbookViewId="0">
      <pane xSplit="1" ySplit="2" topLeftCell="B3" activePane="bottomRight" state="frozen"/>
      <selection pane="topRight"/>
      <selection pane="bottomLeft"/>
      <selection pane="bottomRight" activeCell="AT23" sqref="AT23"/>
    </sheetView>
  </sheetViews>
  <sheetFormatPr defaultColWidth="9.1796875" defaultRowHeight="12.5" outlineLevelRow="1" outlineLevelCol="1" x14ac:dyDescent="0.25"/>
  <cols>
    <col min="1" max="1" width="46" style="4" bestFit="1" customWidth="1"/>
    <col min="2" max="2" width="9.453125" style="4" customWidth="1"/>
    <col min="3" max="9" width="8.54296875" style="6" hidden="1" customWidth="1" outlineLevel="1"/>
    <col min="10" max="10" width="9.54296875" style="6" hidden="1" customWidth="1" outlineLevel="1" collapsed="1"/>
    <col min="11" max="16" width="9.54296875" style="6" hidden="1" customWidth="1" outlineLevel="1"/>
    <col min="17" max="17" width="10.54296875" style="6" hidden="1" customWidth="1" outlineLevel="1" collapsed="1"/>
    <col min="18" max="23" width="10.54296875" style="6" hidden="1" customWidth="1" outlineLevel="1"/>
    <col min="24" max="24" width="13.54296875" style="6" hidden="1" customWidth="1" outlineLevel="1" collapsed="1"/>
    <col min="25" max="26" width="10.54296875" style="6" hidden="1" customWidth="1" outlineLevel="1"/>
    <col min="27" max="27" width="10.54296875" style="6" hidden="1" customWidth="1" outlineLevel="1" collapsed="1"/>
    <col min="28" max="28" width="10.54296875" style="6" hidden="1" customWidth="1" outlineLevel="1"/>
    <col min="29" max="29" width="10.54296875" style="6" hidden="1" customWidth="1" outlineLevel="1" collapsed="1"/>
    <col min="30" max="30" width="10.54296875" style="6" hidden="1" customWidth="1" outlineLevel="1"/>
    <col min="31" max="32" width="11.7265625" style="6" hidden="1" customWidth="1" outlineLevel="1" collapsed="1"/>
    <col min="33" max="35" width="11.7265625" style="6" hidden="1" customWidth="1" outlineLevel="1"/>
    <col min="36" max="36" width="11.1796875" style="6" hidden="1" customWidth="1" outlineLevel="1"/>
    <col min="37" max="37" width="11.7265625" style="6" hidden="1" customWidth="1" outlineLevel="1" collapsed="1"/>
    <col min="38" max="41" width="12.54296875" style="6" hidden="1" customWidth="1" outlineLevel="1"/>
    <col min="42" max="42" width="11.54296875" style="6" hidden="1" customWidth="1" outlineLevel="1" collapsed="1"/>
    <col min="43" max="43" width="12.1796875" style="6" hidden="1" customWidth="1" outlineLevel="1"/>
    <col min="44" max="44" width="9.1796875" style="6" hidden="1" customWidth="1" outlineLevel="1"/>
    <col min="45" max="45" width="11.7265625" style="6" customWidth="1" collapsed="1"/>
    <col min="46" max="49" width="12.54296875" style="6" customWidth="1"/>
    <col min="50" max="50" width="11.54296875" style="6" hidden="1" customWidth="1" outlineLevel="1"/>
    <col min="51" max="51" width="12.1796875" style="6" hidden="1" customWidth="1" outlineLevel="1"/>
    <col min="52" max="52" width="9.1796875" style="6" collapsed="1"/>
    <col min="53" max="16384" width="9.1796875" style="4"/>
  </cols>
  <sheetData>
    <row r="1" spans="1:52" ht="30" customHeight="1" x14ac:dyDescent="0.3">
      <c r="A1" s="85" t="s">
        <v>158</v>
      </c>
      <c r="Q1" s="107"/>
      <c r="R1" s="108"/>
      <c r="S1" s="108"/>
      <c r="T1" s="311"/>
      <c r="U1" s="311"/>
      <c r="V1" s="311"/>
      <c r="W1" s="311"/>
      <c r="X1" s="130"/>
      <c r="Y1" s="130"/>
      <c r="Z1" s="130"/>
      <c r="AA1" s="305"/>
      <c r="AB1" s="305"/>
      <c r="AC1" s="305"/>
      <c r="AD1" s="305"/>
      <c r="AE1" s="130"/>
      <c r="AF1" s="130"/>
      <c r="AG1" s="130"/>
      <c r="AH1" s="304"/>
      <c r="AI1" s="304"/>
      <c r="AJ1" s="130"/>
      <c r="AK1" s="130"/>
      <c r="AN1" s="247"/>
      <c r="AO1" s="247"/>
      <c r="AS1" s="130"/>
      <c r="AT1" s="269"/>
      <c r="AU1" s="269"/>
      <c r="AV1" s="247"/>
      <c r="AW1" s="247"/>
    </row>
    <row r="2" spans="1:52" s="2" customFormat="1" ht="45" customHeight="1" x14ac:dyDescent="0.35">
      <c r="A2" s="170"/>
      <c r="B2" s="171"/>
      <c r="C2" s="10" t="s">
        <v>159</v>
      </c>
      <c r="D2" s="11" t="s">
        <v>160</v>
      </c>
      <c r="E2" s="11" t="s">
        <v>161</v>
      </c>
      <c r="F2" s="11" t="s">
        <v>162</v>
      </c>
      <c r="G2" s="11" t="s">
        <v>163</v>
      </c>
      <c r="H2" s="11" t="s">
        <v>164</v>
      </c>
      <c r="I2" s="12" t="s">
        <v>165</v>
      </c>
      <c r="J2" s="10" t="s">
        <v>166</v>
      </c>
      <c r="K2" s="11" t="s">
        <v>167</v>
      </c>
      <c r="L2" s="11" t="s">
        <v>168</v>
      </c>
      <c r="M2" s="11" t="s">
        <v>169</v>
      </c>
      <c r="N2" s="11" t="s">
        <v>170</v>
      </c>
      <c r="O2" s="11" t="s">
        <v>171</v>
      </c>
      <c r="P2" s="12" t="s">
        <v>172</v>
      </c>
      <c r="Q2" s="10" t="s">
        <v>173</v>
      </c>
      <c r="R2" s="11" t="s">
        <v>174</v>
      </c>
      <c r="S2" s="11" t="s">
        <v>175</v>
      </c>
      <c r="T2" s="11" t="s">
        <v>176</v>
      </c>
      <c r="U2" s="11" t="s">
        <v>177</v>
      </c>
      <c r="V2" s="11" t="s">
        <v>201</v>
      </c>
      <c r="W2" s="11" t="s">
        <v>202</v>
      </c>
      <c r="X2" s="11" t="s">
        <v>210</v>
      </c>
      <c r="Y2" s="11" t="s">
        <v>222</v>
      </c>
      <c r="Z2" s="11" t="s">
        <v>223</v>
      </c>
      <c r="AA2" s="11" t="s">
        <v>245</v>
      </c>
      <c r="AB2" s="12" t="s">
        <v>246</v>
      </c>
      <c r="AC2" s="11" t="s">
        <v>262</v>
      </c>
      <c r="AD2" s="12" t="s">
        <v>263</v>
      </c>
      <c r="AE2" s="10" t="s">
        <v>279</v>
      </c>
      <c r="AF2" s="11" t="s">
        <v>294</v>
      </c>
      <c r="AG2" s="206" t="s">
        <v>316</v>
      </c>
      <c r="AH2" s="206" t="s">
        <v>332</v>
      </c>
      <c r="AI2" s="207" t="s">
        <v>333</v>
      </c>
      <c r="AJ2" s="178" t="s">
        <v>297</v>
      </c>
      <c r="AK2" s="178" t="s">
        <v>340</v>
      </c>
      <c r="AL2" s="178" t="s">
        <v>341</v>
      </c>
      <c r="AM2" s="178" t="s">
        <v>343</v>
      </c>
      <c r="AN2" s="178" t="s">
        <v>342</v>
      </c>
      <c r="AO2" s="178" t="s">
        <v>365</v>
      </c>
      <c r="AP2" s="178" t="s">
        <v>386</v>
      </c>
      <c r="AQ2" s="178" t="s">
        <v>366</v>
      </c>
      <c r="AR2" s="3"/>
      <c r="AS2" s="178" t="s">
        <v>372</v>
      </c>
      <c r="AT2" s="178" t="s">
        <v>373</v>
      </c>
      <c r="AU2" s="178" t="s">
        <v>374</v>
      </c>
      <c r="AV2" s="178" t="s">
        <v>375</v>
      </c>
      <c r="AW2" s="178" t="s">
        <v>376</v>
      </c>
      <c r="AX2" s="178" t="s">
        <v>377</v>
      </c>
      <c r="AY2" s="178" t="s">
        <v>378</v>
      </c>
      <c r="AZ2" s="3"/>
    </row>
    <row r="3" spans="1:52" x14ac:dyDescent="0.25">
      <c r="A3" s="4" t="s">
        <v>178</v>
      </c>
      <c r="B3" s="168" t="s">
        <v>179</v>
      </c>
      <c r="C3" s="8">
        <v>-1120</v>
      </c>
      <c r="D3" s="5">
        <v>-559</v>
      </c>
      <c r="E3" s="5">
        <v>-1678.6</v>
      </c>
      <c r="F3" s="5">
        <v>-261</v>
      </c>
      <c r="G3" s="5">
        <v>-1940</v>
      </c>
      <c r="H3" s="5">
        <v>1207</v>
      </c>
      <c r="I3" s="9">
        <v>-733</v>
      </c>
      <c r="J3" s="8">
        <v>2285</v>
      </c>
      <c r="K3" s="5">
        <v>4005</v>
      </c>
      <c r="L3" s="5">
        <f>J3+K3</f>
        <v>6290</v>
      </c>
      <c r="M3" s="5">
        <v>4621</v>
      </c>
      <c r="N3" s="5">
        <f>10911</f>
        <v>10911</v>
      </c>
      <c r="O3" s="5">
        <v>4045</v>
      </c>
      <c r="P3" s="9">
        <v>14956</v>
      </c>
      <c r="Q3" s="109">
        <v>4125</v>
      </c>
      <c r="R3" s="110">
        <v>3923</v>
      </c>
      <c r="S3" s="110">
        <v>8048</v>
      </c>
      <c r="T3" s="110">
        <v>993</v>
      </c>
      <c r="U3" s="110">
        <v>9041</v>
      </c>
      <c r="V3" s="125">
        <v>261</v>
      </c>
      <c r="W3" s="125">
        <v>9302</v>
      </c>
      <c r="X3" s="125">
        <v>1096</v>
      </c>
      <c r="Y3" s="162">
        <v>1859.7995892463398</v>
      </c>
      <c r="Z3" s="162">
        <v>2955.86181149392</v>
      </c>
      <c r="AA3" s="5">
        <v>928.78631455462028</v>
      </c>
      <c r="AB3" s="123">
        <v>3884.6481260485402</v>
      </c>
      <c r="AC3" s="177">
        <v>-2966</v>
      </c>
      <c r="AD3" s="9">
        <v>919</v>
      </c>
      <c r="AE3" s="194">
        <f>938471061.309256/10^6</f>
        <v>938.4710613092559</v>
      </c>
      <c r="AF3" s="110">
        <v>504</v>
      </c>
      <c r="AG3" s="110">
        <f>287099454.65054/10^6</f>
        <v>287.09945465054</v>
      </c>
      <c r="AH3" s="110">
        <v>-390</v>
      </c>
      <c r="AI3" s="215">
        <v>1339</v>
      </c>
      <c r="AJ3" s="216">
        <v>1442</v>
      </c>
      <c r="AK3" s="216">
        <v>805</v>
      </c>
      <c r="AL3" s="216">
        <v>1793</v>
      </c>
      <c r="AM3" s="216">
        <v>2598</v>
      </c>
      <c r="AN3" s="251">
        <v>377</v>
      </c>
      <c r="AO3" s="179">
        <v>2975</v>
      </c>
      <c r="AP3" s="179">
        <v>177</v>
      </c>
      <c r="AQ3" s="179">
        <v>3152.3069999999998</v>
      </c>
      <c r="AS3" s="216">
        <v>575</v>
      </c>
      <c r="AT3" s="216">
        <v>683</v>
      </c>
      <c r="AU3" s="216">
        <v>1258</v>
      </c>
      <c r="AV3" s="276"/>
      <c r="AW3" s="277"/>
      <c r="AX3" s="179"/>
      <c r="AY3" s="179"/>
    </row>
    <row r="4" spans="1:52" x14ac:dyDescent="0.25">
      <c r="B4" s="169"/>
      <c r="C4" s="8"/>
      <c r="D4" s="5"/>
      <c r="E4" s="5"/>
      <c r="F4" s="5"/>
      <c r="G4" s="5"/>
      <c r="H4" s="5"/>
      <c r="I4" s="9"/>
      <c r="J4" s="8"/>
      <c r="K4" s="5"/>
      <c r="L4" s="5"/>
      <c r="M4" s="5"/>
      <c r="N4" s="5"/>
      <c r="O4" s="5"/>
      <c r="P4" s="9"/>
      <c r="Q4" s="109"/>
      <c r="R4" s="111"/>
      <c r="S4" s="111"/>
      <c r="T4" s="5"/>
      <c r="U4" s="5"/>
      <c r="V4" s="5"/>
      <c r="W4" s="5"/>
      <c r="X4" s="5"/>
      <c r="Y4" s="5"/>
      <c r="Z4" s="5"/>
      <c r="AA4" s="5"/>
      <c r="AB4" s="9"/>
      <c r="AC4" s="5"/>
      <c r="AD4" s="9"/>
      <c r="AE4" s="195"/>
      <c r="AF4" s="7"/>
      <c r="AG4" s="5"/>
      <c r="AH4" s="5"/>
      <c r="AI4" s="9"/>
      <c r="AJ4" s="179"/>
      <c r="AK4" s="221"/>
      <c r="AL4" s="221"/>
      <c r="AM4" s="179"/>
      <c r="AN4" s="221"/>
      <c r="AO4" s="179"/>
      <c r="AP4" s="179"/>
      <c r="AQ4" s="179"/>
      <c r="AS4" s="221"/>
      <c r="AT4" s="221"/>
      <c r="AU4" s="179"/>
      <c r="AV4" s="221"/>
      <c r="AW4" s="179"/>
      <c r="AX4" s="179"/>
      <c r="AY4" s="179"/>
    </row>
    <row r="5" spans="1:52" x14ac:dyDescent="0.25">
      <c r="A5" s="4" t="s">
        <v>180</v>
      </c>
      <c r="B5" s="306" t="s">
        <v>181</v>
      </c>
      <c r="C5" s="8">
        <v>1012</v>
      </c>
      <c r="D5" s="5">
        <v>1012</v>
      </c>
      <c r="E5" s="5">
        <v>1012</v>
      </c>
      <c r="F5" s="5">
        <v>1012</v>
      </c>
      <c r="G5" s="5">
        <v>1012</v>
      </c>
      <c r="H5" s="5">
        <v>1008</v>
      </c>
      <c r="I5" s="9">
        <v>1012</v>
      </c>
      <c r="J5" s="8">
        <v>1081</v>
      </c>
      <c r="K5" s="5">
        <v>1054</v>
      </c>
      <c r="L5" s="5">
        <v>1081</v>
      </c>
      <c r="M5" s="5">
        <v>1019</v>
      </c>
      <c r="N5" s="5">
        <v>1081</v>
      </c>
      <c r="O5" s="5">
        <v>970</v>
      </c>
      <c r="P5" s="9">
        <v>1081</v>
      </c>
      <c r="Q5" s="109">
        <v>911</v>
      </c>
      <c r="R5" s="111">
        <v>893</v>
      </c>
      <c r="S5" s="111">
        <v>911</v>
      </c>
      <c r="T5" s="124">
        <v>847</v>
      </c>
      <c r="U5" s="124">
        <f>+Q5</f>
        <v>911</v>
      </c>
      <c r="V5" s="124">
        <v>816</v>
      </c>
      <c r="W5" s="124">
        <f>+Q5</f>
        <v>911</v>
      </c>
      <c r="X5" s="124">
        <f>'Shares issued, TS &amp; outstanding'!E46/10^6</f>
        <v>805.33792900000003</v>
      </c>
      <c r="Y5" s="124">
        <v>787</v>
      </c>
      <c r="Z5" s="124">
        <f>X5</f>
        <v>805.33792900000003</v>
      </c>
      <c r="AA5" s="124">
        <v>839</v>
      </c>
      <c r="AB5" s="123">
        <v>805</v>
      </c>
      <c r="AC5" s="124">
        <v>838</v>
      </c>
      <c r="AD5" s="123">
        <f>AB5</f>
        <v>805</v>
      </c>
      <c r="AE5" s="109">
        <v>819</v>
      </c>
      <c r="AF5" s="111">
        <v>797</v>
      </c>
      <c r="AG5" s="111">
        <v>785.22702800000002</v>
      </c>
      <c r="AH5" s="111">
        <v>774</v>
      </c>
      <c r="AI5" s="161">
        <v>819</v>
      </c>
      <c r="AJ5" s="180">
        <v>819</v>
      </c>
      <c r="AK5" s="181">
        <v>768</v>
      </c>
      <c r="AL5" s="181">
        <v>763.20795699999542</v>
      </c>
      <c r="AM5" s="180">
        <f>768546621.999995/10^6</f>
        <v>768.54662199999495</v>
      </c>
      <c r="AN5" s="181">
        <f>760489515/10^6</f>
        <v>760.48951499999998</v>
      </c>
      <c r="AO5" s="180">
        <v>768.54662199999552</v>
      </c>
      <c r="AP5" s="180">
        <f>760538195.999995/10^6</f>
        <v>760.53819599999497</v>
      </c>
      <c r="AQ5" s="180">
        <v>768.54662199999552</v>
      </c>
      <c r="AS5" s="181">
        <v>761.12581899999543</v>
      </c>
      <c r="AT5" s="181">
        <v>761.93538299999545</v>
      </c>
      <c r="AU5" s="180">
        <v>761.12581899999543</v>
      </c>
      <c r="AV5" s="181">
        <v>754.04169799999545</v>
      </c>
      <c r="AW5" s="180">
        <f>AU5</f>
        <v>761.12581899999543</v>
      </c>
      <c r="AX5" s="180"/>
      <c r="AY5" s="180"/>
    </row>
    <row r="6" spans="1:52" hidden="1" outlineLevel="1" x14ac:dyDescent="0.25">
      <c r="A6" s="13" t="s">
        <v>182</v>
      </c>
      <c r="B6" s="307"/>
      <c r="C6" s="8">
        <v>0</v>
      </c>
      <c r="D6" s="5">
        <v>42</v>
      </c>
      <c r="E6" s="5">
        <v>21</v>
      </c>
      <c r="F6" s="5">
        <v>81</v>
      </c>
      <c r="G6" s="5">
        <v>41</v>
      </c>
      <c r="H6" s="5">
        <v>81</v>
      </c>
      <c r="I6" s="9">
        <v>51</v>
      </c>
      <c r="J6" s="8">
        <v>0</v>
      </c>
      <c r="K6" s="5">
        <v>0</v>
      </c>
      <c r="L6" s="5">
        <v>0</v>
      </c>
      <c r="M6" s="5">
        <v>0</v>
      </c>
      <c r="N6" s="5">
        <v>0</v>
      </c>
      <c r="O6" s="5">
        <v>0</v>
      </c>
      <c r="P6" s="9">
        <v>0</v>
      </c>
      <c r="Q6" s="109">
        <v>0</v>
      </c>
      <c r="R6" s="111">
        <v>0</v>
      </c>
      <c r="S6" s="111">
        <v>0</v>
      </c>
      <c r="T6" s="124">
        <v>0</v>
      </c>
      <c r="U6" s="124">
        <v>0</v>
      </c>
      <c r="V6" s="124">
        <v>0</v>
      </c>
      <c r="W6" s="102">
        <v>0</v>
      </c>
      <c r="X6" s="124">
        <v>0</v>
      </c>
      <c r="Y6" s="124"/>
      <c r="Z6" s="124"/>
      <c r="AA6" s="124"/>
      <c r="AB6" s="123"/>
      <c r="AC6" s="124"/>
      <c r="AD6" s="123"/>
      <c r="AE6" s="109">
        <v>0</v>
      </c>
      <c r="AF6" s="111">
        <v>0</v>
      </c>
      <c r="AG6" s="124"/>
      <c r="AH6" s="124"/>
      <c r="AI6" s="123"/>
      <c r="AJ6" s="180">
        <v>0</v>
      </c>
      <c r="AK6" s="181">
        <v>0</v>
      </c>
      <c r="AL6" s="181"/>
      <c r="AM6" s="180"/>
      <c r="AN6" s="181"/>
      <c r="AO6" s="180"/>
      <c r="AP6" s="180"/>
      <c r="AQ6" s="180"/>
      <c r="AS6" s="181">
        <v>0</v>
      </c>
      <c r="AT6" s="181"/>
      <c r="AU6" s="180"/>
      <c r="AV6" s="181"/>
      <c r="AW6" s="180"/>
      <c r="AX6" s="180"/>
      <c r="AY6" s="180"/>
    </row>
    <row r="7" spans="1:52" collapsed="1" x14ac:dyDescent="0.25">
      <c r="A7" s="4" t="s">
        <v>183</v>
      </c>
      <c r="B7" s="307"/>
      <c r="C7" s="8">
        <v>0</v>
      </c>
      <c r="D7" s="5">
        <v>0</v>
      </c>
      <c r="E7" s="5">
        <v>0</v>
      </c>
      <c r="F7" s="7">
        <v>0</v>
      </c>
      <c r="G7" s="5">
        <v>0</v>
      </c>
      <c r="H7" s="5">
        <v>-24</v>
      </c>
      <c r="I7" s="9">
        <v>-7</v>
      </c>
      <c r="J7" s="8">
        <v>-11</v>
      </c>
      <c r="K7" s="5">
        <v>-8</v>
      </c>
      <c r="L7" s="5">
        <v>-25</v>
      </c>
      <c r="M7" s="5">
        <v>-19</v>
      </c>
      <c r="N7" s="5">
        <v>-42</v>
      </c>
      <c r="O7" s="5">
        <v>-29</v>
      </c>
      <c r="P7" s="9">
        <v>-68</v>
      </c>
      <c r="Q7" s="109">
        <v>-3</v>
      </c>
      <c r="R7" s="111">
        <v>-26</v>
      </c>
      <c r="S7" s="111">
        <v>-24</v>
      </c>
      <c r="T7" s="124">
        <v>-12</v>
      </c>
      <c r="U7" s="124">
        <v>-42</v>
      </c>
      <c r="V7" s="124">
        <v>-8</v>
      </c>
      <c r="W7" s="124">
        <v>-58</v>
      </c>
      <c r="X7" s="111">
        <v>-3</v>
      </c>
      <c r="Y7" s="124">
        <v>-3</v>
      </c>
      <c r="Z7" s="124">
        <v>-12</v>
      </c>
      <c r="AA7" s="111">
        <v>-1</v>
      </c>
      <c r="AB7" s="161">
        <v>-16</v>
      </c>
      <c r="AC7" s="111">
        <v>-8</v>
      </c>
      <c r="AD7" s="161">
        <v>-21.230491608219179</v>
      </c>
      <c r="AE7" s="109">
        <v>-10</v>
      </c>
      <c r="AF7" s="111">
        <v>-3.2033375934065931</v>
      </c>
      <c r="AG7" s="111">
        <v>-7</v>
      </c>
      <c r="AH7" s="111">
        <v>-2</v>
      </c>
      <c r="AI7" s="161">
        <v>-32</v>
      </c>
      <c r="AJ7" s="181">
        <v>-17.679702780219802</v>
      </c>
      <c r="AK7" s="180">
        <v>0</v>
      </c>
      <c r="AL7" s="180">
        <f>-1611640.52747253/10^6</f>
        <v>-1.6116405274725301</v>
      </c>
      <c r="AM7" s="181">
        <f>-4052166.30939227/10^6</f>
        <v>-4.0521663093922697</v>
      </c>
      <c r="AN7" s="180">
        <v>0</v>
      </c>
      <c r="AO7" s="180">
        <v>-5.649324285714286</v>
      </c>
      <c r="AP7" s="180">
        <v>0</v>
      </c>
      <c r="AQ7" s="180">
        <v>-6.4413396109589049</v>
      </c>
      <c r="AR7" s="258"/>
      <c r="AS7" s="180">
        <v>0</v>
      </c>
      <c r="AT7" s="180">
        <v>-2.0379258241758236</v>
      </c>
      <c r="AU7" s="181">
        <v>-1.02</v>
      </c>
      <c r="AV7" s="180">
        <v>-1</v>
      </c>
      <c r="AW7" s="180">
        <v>-3.7</v>
      </c>
      <c r="AX7" s="180"/>
      <c r="AY7" s="180"/>
      <c r="AZ7" s="258"/>
    </row>
    <row r="8" spans="1:52" s="14" customFormat="1" x14ac:dyDescent="0.35">
      <c r="A8" s="14" t="s">
        <v>240</v>
      </c>
      <c r="B8" s="307"/>
      <c r="C8" s="15">
        <v>0</v>
      </c>
      <c r="D8" s="16">
        <v>65</v>
      </c>
      <c r="E8" s="16">
        <v>33</v>
      </c>
      <c r="F8" s="16">
        <v>135</v>
      </c>
      <c r="G8" s="16">
        <v>67</v>
      </c>
      <c r="H8" s="16">
        <v>134</v>
      </c>
      <c r="I8" s="139">
        <v>84</v>
      </c>
      <c r="J8" s="15">
        <v>108</v>
      </c>
      <c r="K8" s="16">
        <v>108</v>
      </c>
      <c r="L8" s="16">
        <v>108</v>
      </c>
      <c r="M8" s="16">
        <v>109</v>
      </c>
      <c r="N8" s="16">
        <v>108</v>
      </c>
      <c r="O8" s="16">
        <v>89</v>
      </c>
      <c r="P8" s="139">
        <v>92</v>
      </c>
      <c r="Q8" s="140">
        <v>56</v>
      </c>
      <c r="R8" s="127">
        <v>57</v>
      </c>
      <c r="S8" s="127">
        <v>57</v>
      </c>
      <c r="T8" s="127">
        <v>57</v>
      </c>
      <c r="U8" s="127">
        <v>57</v>
      </c>
      <c r="V8" s="127">
        <v>57</v>
      </c>
      <c r="W8" s="127">
        <v>57</v>
      </c>
      <c r="X8" s="127">
        <v>57</v>
      </c>
      <c r="Y8" s="127">
        <v>57</v>
      </c>
      <c r="Z8" s="127">
        <v>57</v>
      </c>
      <c r="AA8" s="127">
        <v>0</v>
      </c>
      <c r="AB8" s="141">
        <v>57</v>
      </c>
      <c r="AC8" s="127">
        <v>0</v>
      </c>
      <c r="AD8" s="141">
        <f>AB8</f>
        <v>57</v>
      </c>
      <c r="AE8" s="196">
        <v>0</v>
      </c>
      <c r="AF8" s="197">
        <v>0</v>
      </c>
      <c r="AG8" s="127">
        <v>0</v>
      </c>
      <c r="AH8" s="127">
        <v>0</v>
      </c>
      <c r="AI8" s="141">
        <v>0</v>
      </c>
      <c r="AJ8" s="182">
        <v>0</v>
      </c>
      <c r="AK8" s="182">
        <v>0</v>
      </c>
      <c r="AL8" s="182">
        <v>0</v>
      </c>
      <c r="AM8" s="182">
        <v>0</v>
      </c>
      <c r="AN8" s="182">
        <v>0</v>
      </c>
      <c r="AO8" s="182">
        <v>0</v>
      </c>
      <c r="AP8" s="182">
        <v>0</v>
      </c>
      <c r="AQ8" s="182">
        <v>0</v>
      </c>
      <c r="AS8" s="182">
        <v>0</v>
      </c>
      <c r="AT8" s="182"/>
      <c r="AU8" s="182"/>
      <c r="AV8" s="182"/>
      <c r="AW8" s="279"/>
      <c r="AX8" s="182"/>
      <c r="AY8" s="182"/>
    </row>
    <row r="9" spans="1:52" x14ac:dyDescent="0.25">
      <c r="A9" s="4" t="s">
        <v>238</v>
      </c>
      <c r="B9" s="307"/>
      <c r="C9" s="8"/>
      <c r="D9" s="5"/>
      <c r="E9" s="5"/>
      <c r="F9" s="5"/>
      <c r="G9" s="5"/>
      <c r="H9" s="5"/>
      <c r="I9" s="9"/>
      <c r="J9" s="8"/>
      <c r="K9" s="5"/>
      <c r="L9" s="5"/>
      <c r="M9" s="5"/>
      <c r="N9" s="5"/>
      <c r="O9" s="5"/>
      <c r="P9" s="9"/>
      <c r="Q9" s="131"/>
      <c r="R9" s="124"/>
      <c r="S9" s="124"/>
      <c r="T9" s="102"/>
      <c r="U9" s="102"/>
      <c r="V9" s="124"/>
      <c r="W9" s="124">
        <v>1</v>
      </c>
      <c r="X9" s="124"/>
      <c r="Y9" s="124">
        <v>1</v>
      </c>
      <c r="Z9" s="124">
        <v>1</v>
      </c>
      <c r="AA9" s="124">
        <v>0</v>
      </c>
      <c r="AB9" s="123">
        <v>1</v>
      </c>
      <c r="AC9" s="124">
        <v>0</v>
      </c>
      <c r="AD9" s="123">
        <v>1.1680115369863013</v>
      </c>
      <c r="AE9" s="109">
        <v>0</v>
      </c>
      <c r="AF9" s="111">
        <v>0</v>
      </c>
      <c r="AG9" s="124">
        <v>0</v>
      </c>
      <c r="AH9" s="124">
        <v>0</v>
      </c>
      <c r="AI9" s="123">
        <v>1</v>
      </c>
      <c r="AJ9" s="180">
        <v>0.5524065659340659</v>
      </c>
      <c r="AK9" s="180">
        <v>0</v>
      </c>
      <c r="AL9" s="180">
        <v>0</v>
      </c>
      <c r="AM9" s="180">
        <f>454991.740331492/10^6</f>
        <v>0.45499174033149198</v>
      </c>
      <c r="AN9" s="180">
        <v>0.4</v>
      </c>
      <c r="AO9" s="180">
        <v>0.55355046153846155</v>
      </c>
      <c r="AP9" s="180">
        <v>0</v>
      </c>
      <c r="AQ9" s="180">
        <v>1</v>
      </c>
      <c r="AS9" s="180">
        <v>0</v>
      </c>
      <c r="AT9" s="180">
        <v>0.06</v>
      </c>
      <c r="AU9" s="180">
        <v>0.54</v>
      </c>
      <c r="AV9" s="180">
        <v>0</v>
      </c>
      <c r="AW9" s="278">
        <v>0.68</v>
      </c>
      <c r="AX9" s="180"/>
      <c r="AY9" s="180"/>
    </row>
    <row r="10" spans="1:52" s="14" customFormat="1" ht="31.5" customHeight="1" x14ac:dyDescent="0.35">
      <c r="A10" s="26" t="s">
        <v>184</v>
      </c>
      <c r="B10" s="307"/>
      <c r="C10" s="21">
        <v>1012</v>
      </c>
      <c r="D10" s="22">
        <v>1119</v>
      </c>
      <c r="E10" s="22">
        <v>1066</v>
      </c>
      <c r="F10" s="22">
        <v>1228</v>
      </c>
      <c r="G10" s="23">
        <v>1120</v>
      </c>
      <c r="H10" s="23">
        <v>1199</v>
      </c>
      <c r="I10" s="24">
        <v>1140</v>
      </c>
      <c r="J10" s="25">
        <v>1178</v>
      </c>
      <c r="K10" s="23">
        <v>1154</v>
      </c>
      <c r="L10" s="23">
        <v>1164</v>
      </c>
      <c r="M10" s="23">
        <v>1109</v>
      </c>
      <c r="N10" s="23">
        <v>1147</v>
      </c>
      <c r="O10" s="23">
        <v>1030</v>
      </c>
      <c r="P10" s="24">
        <v>1105</v>
      </c>
      <c r="Q10" s="132">
        <f t="shared" ref="Q10:V10" si="0">SUM(Q5:Q9)</f>
        <v>964</v>
      </c>
      <c r="R10" s="122">
        <f t="shared" si="0"/>
        <v>924</v>
      </c>
      <c r="S10" s="122">
        <f t="shared" si="0"/>
        <v>944</v>
      </c>
      <c r="T10" s="122">
        <f t="shared" si="0"/>
        <v>892</v>
      </c>
      <c r="U10" s="122">
        <f t="shared" si="0"/>
        <v>926</v>
      </c>
      <c r="V10" s="122">
        <f t="shared" si="0"/>
        <v>865</v>
      </c>
      <c r="W10" s="122">
        <f>SUM(W5:W9)</f>
        <v>911</v>
      </c>
      <c r="X10" s="122">
        <f t="shared" ref="X10:Z10" si="1">SUM(X5:X9)</f>
        <v>859.33792900000003</v>
      </c>
      <c r="Y10" s="122">
        <f t="shared" si="1"/>
        <v>842</v>
      </c>
      <c r="Z10" s="122">
        <f t="shared" si="1"/>
        <v>851.33792900000003</v>
      </c>
      <c r="AA10" s="122">
        <f t="shared" ref="AA10:AB10" si="2">SUM(AA5:AA9)</f>
        <v>838</v>
      </c>
      <c r="AB10" s="126">
        <f t="shared" si="2"/>
        <v>847</v>
      </c>
      <c r="AC10" s="122">
        <f t="shared" ref="AC10" si="3">SUM(AC5:AC9)</f>
        <v>830</v>
      </c>
      <c r="AD10" s="126">
        <f t="shared" ref="AD10:AJ10" si="4">SUM(AD5:AD9)</f>
        <v>841.93751992876719</v>
      </c>
      <c r="AE10" s="198">
        <f t="shared" si="4"/>
        <v>809</v>
      </c>
      <c r="AF10" s="199">
        <f t="shared" si="4"/>
        <v>793.79666240659344</v>
      </c>
      <c r="AG10" s="122">
        <f t="shared" si="4"/>
        <v>778.22702800000002</v>
      </c>
      <c r="AH10" s="122">
        <f t="shared" ref="AH10" si="5">SUM(AH5:AH9)</f>
        <v>772</v>
      </c>
      <c r="AI10" s="122">
        <f t="shared" si="4"/>
        <v>788</v>
      </c>
      <c r="AJ10" s="183">
        <f t="shared" si="4"/>
        <v>801.87270378571429</v>
      </c>
      <c r="AK10" s="222">
        <f>SUM(AK5:AK9)</f>
        <v>768</v>
      </c>
      <c r="AL10" s="222">
        <f t="shared" ref="AL10:AN10" si="6">SUM(AL5:AL9)</f>
        <v>761.59631647252286</v>
      </c>
      <c r="AM10" s="222">
        <f t="shared" si="6"/>
        <v>764.94944743093413</v>
      </c>
      <c r="AN10" s="222">
        <f t="shared" si="6"/>
        <v>760.88951499999996</v>
      </c>
      <c r="AO10" s="183">
        <f t="shared" ref="AO10:AQ10" si="7">SUM(AO5:AO9)</f>
        <v>763.4508481758196</v>
      </c>
      <c r="AP10" s="183">
        <f t="shared" si="7"/>
        <v>760.53819599999497</v>
      </c>
      <c r="AQ10" s="183">
        <f t="shared" si="7"/>
        <v>763.10528238903657</v>
      </c>
      <c r="AR10" s="20"/>
      <c r="AS10" s="222">
        <f>SUM(AS5:AS9)</f>
        <v>761.12581899999543</v>
      </c>
      <c r="AT10" s="222">
        <f t="shared" ref="AT10:AY10" si="8">SUM(AT5:AT9)</f>
        <v>759.95745717581963</v>
      </c>
      <c r="AU10" s="183">
        <f t="shared" si="8"/>
        <v>760.64581899999541</v>
      </c>
      <c r="AV10" s="222">
        <f t="shared" si="8"/>
        <v>753.04169799999545</v>
      </c>
      <c r="AW10" s="183">
        <f t="shared" si="8"/>
        <v>758.10581899999534</v>
      </c>
      <c r="AX10" s="183">
        <f t="shared" si="8"/>
        <v>0</v>
      </c>
      <c r="AY10" s="183">
        <f t="shared" si="8"/>
        <v>0</v>
      </c>
      <c r="AZ10" s="20"/>
    </row>
    <row r="11" spans="1:52" s="14" customFormat="1" ht="18" customHeight="1" x14ac:dyDescent="0.35">
      <c r="A11" s="14" t="s">
        <v>185</v>
      </c>
      <c r="B11" s="307"/>
      <c r="C11" s="15">
        <v>0</v>
      </c>
      <c r="D11" s="16">
        <v>0</v>
      </c>
      <c r="E11" s="16">
        <v>0</v>
      </c>
      <c r="F11" s="16">
        <v>0</v>
      </c>
      <c r="G11" s="17">
        <v>0</v>
      </c>
      <c r="H11" s="17">
        <v>5</v>
      </c>
      <c r="I11" s="18">
        <v>0</v>
      </c>
      <c r="J11" s="19">
        <v>5</v>
      </c>
      <c r="K11" s="17">
        <v>3</v>
      </c>
      <c r="L11" s="17">
        <v>3</v>
      </c>
      <c r="M11" s="17">
        <v>3</v>
      </c>
      <c r="N11" s="17">
        <v>3</v>
      </c>
      <c r="O11" s="17">
        <v>3</v>
      </c>
      <c r="P11" s="18">
        <v>3.3</v>
      </c>
      <c r="Q11" s="140">
        <v>2</v>
      </c>
      <c r="R11" s="127">
        <v>2</v>
      </c>
      <c r="S11" s="127">
        <v>2</v>
      </c>
      <c r="T11" s="127">
        <v>3</v>
      </c>
      <c r="U11" s="127">
        <f>+T11</f>
        <v>3</v>
      </c>
      <c r="V11" s="127">
        <v>3</v>
      </c>
      <c r="W11" s="127">
        <v>3</v>
      </c>
      <c r="X11" s="127">
        <v>3</v>
      </c>
      <c r="Y11" s="163">
        <v>3</v>
      </c>
      <c r="Z11" s="163">
        <v>3</v>
      </c>
      <c r="AA11" s="163">
        <v>3</v>
      </c>
      <c r="AB11" s="133">
        <v>3</v>
      </c>
      <c r="AC11" s="163">
        <v>0</v>
      </c>
      <c r="AD11" s="133">
        <v>3</v>
      </c>
      <c r="AE11" s="196">
        <v>2</v>
      </c>
      <c r="AF11" s="197">
        <v>2</v>
      </c>
      <c r="AG11" s="127">
        <v>2</v>
      </c>
      <c r="AH11" s="127">
        <v>2</v>
      </c>
      <c r="AI11" s="141">
        <v>2</v>
      </c>
      <c r="AJ11" s="182">
        <v>2</v>
      </c>
      <c r="AK11" s="182">
        <v>2.5</v>
      </c>
      <c r="AL11" s="182">
        <v>2.5</v>
      </c>
      <c r="AM11" s="182">
        <v>3</v>
      </c>
      <c r="AN11" s="182">
        <v>2.5</v>
      </c>
      <c r="AO11" s="182">
        <v>3</v>
      </c>
      <c r="AP11" s="182">
        <v>3</v>
      </c>
      <c r="AQ11" s="182">
        <v>3</v>
      </c>
      <c r="AR11" s="20"/>
      <c r="AS11" s="182">
        <v>3</v>
      </c>
      <c r="AT11" s="182">
        <v>4</v>
      </c>
      <c r="AU11" s="182">
        <v>3.8</v>
      </c>
      <c r="AV11" s="182">
        <v>3</v>
      </c>
      <c r="AW11" s="182">
        <v>3</v>
      </c>
      <c r="AX11" s="182"/>
      <c r="AY11" s="182"/>
      <c r="AZ11" s="20"/>
    </row>
    <row r="12" spans="1:52" s="14" customFormat="1" ht="33.75" customHeight="1" thickBot="1" x14ac:dyDescent="0.4">
      <c r="A12" s="27" t="s">
        <v>186</v>
      </c>
      <c r="B12" s="308"/>
      <c r="C12" s="21">
        <v>1012</v>
      </c>
      <c r="D12" s="22">
        <v>1119</v>
      </c>
      <c r="E12" s="22">
        <v>1066</v>
      </c>
      <c r="F12" s="22">
        <v>1228</v>
      </c>
      <c r="G12" s="23">
        <v>1120</v>
      </c>
      <c r="H12" s="23">
        <v>1204</v>
      </c>
      <c r="I12" s="24">
        <v>1140</v>
      </c>
      <c r="J12" s="25">
        <v>1183</v>
      </c>
      <c r="K12" s="23">
        <v>1157</v>
      </c>
      <c r="L12" s="23">
        <v>1167</v>
      </c>
      <c r="M12" s="23">
        <v>1112</v>
      </c>
      <c r="N12" s="23">
        <v>1150</v>
      </c>
      <c r="O12" s="23">
        <v>1033</v>
      </c>
      <c r="P12" s="24">
        <v>1108.3</v>
      </c>
      <c r="Q12" s="132">
        <f t="shared" ref="Q12:V12" si="9">SUM(Q10:Q11)</f>
        <v>966</v>
      </c>
      <c r="R12" s="122">
        <f t="shared" si="9"/>
        <v>926</v>
      </c>
      <c r="S12" s="122">
        <f t="shared" si="9"/>
        <v>946</v>
      </c>
      <c r="T12" s="122">
        <f t="shared" si="9"/>
        <v>895</v>
      </c>
      <c r="U12" s="122">
        <f t="shared" si="9"/>
        <v>929</v>
      </c>
      <c r="V12" s="122">
        <f t="shared" si="9"/>
        <v>868</v>
      </c>
      <c r="W12" s="122">
        <f>SUM(W10:W11)</f>
        <v>914</v>
      </c>
      <c r="X12" s="122">
        <f t="shared" ref="X12:Z12" si="10">SUM(X10:X11)</f>
        <v>862.33792900000003</v>
      </c>
      <c r="Y12" s="122">
        <f t="shared" si="10"/>
        <v>845</v>
      </c>
      <c r="Z12" s="122">
        <f t="shared" si="10"/>
        <v>854.33792900000003</v>
      </c>
      <c r="AA12" s="122">
        <f t="shared" ref="AA12:AB12" si="11">SUM(AA10:AA11)</f>
        <v>841</v>
      </c>
      <c r="AB12" s="126">
        <f t="shared" si="11"/>
        <v>850</v>
      </c>
      <c r="AC12" s="122">
        <f t="shared" ref="AC12:AD12" si="12">SUM(AC10:AC11)</f>
        <v>830</v>
      </c>
      <c r="AD12" s="126">
        <f t="shared" si="12"/>
        <v>844.93751992876719</v>
      </c>
      <c r="AE12" s="198">
        <f>SUM(AE10:AE11)</f>
        <v>811</v>
      </c>
      <c r="AF12" s="199">
        <v>797</v>
      </c>
      <c r="AG12" s="122">
        <f t="shared" ref="AG12:AJ12" si="13">SUM(AG10:AG11)</f>
        <v>780.22702800000002</v>
      </c>
      <c r="AH12" s="122">
        <f t="shared" ref="AH12" si="14">SUM(AH10:AH11)</f>
        <v>774</v>
      </c>
      <c r="AI12" s="126">
        <f t="shared" si="13"/>
        <v>790</v>
      </c>
      <c r="AJ12" s="183">
        <f t="shared" si="13"/>
        <v>803.87270378571429</v>
      </c>
      <c r="AK12" s="222">
        <v>770.5</v>
      </c>
      <c r="AL12" s="222">
        <v>765</v>
      </c>
      <c r="AM12" s="183">
        <f t="shared" ref="AM12:AP12" si="15">SUM(AM10:AM11)</f>
        <v>767.94944743093413</v>
      </c>
      <c r="AN12" s="183">
        <v>764</v>
      </c>
      <c r="AO12" s="183">
        <f t="shared" si="15"/>
        <v>766.4508481758196</v>
      </c>
      <c r="AP12" s="183">
        <f t="shared" si="15"/>
        <v>763.53819599999497</v>
      </c>
      <c r="AQ12" s="261">
        <f t="shared" ref="AQ12" si="16">SUM(AQ10:AQ11)</f>
        <v>766.10528238903657</v>
      </c>
      <c r="AR12" s="20"/>
      <c r="AS12" s="222">
        <f>SUM(AS10:AS11)</f>
        <v>764.12581899999543</v>
      </c>
      <c r="AT12" s="183">
        <f t="shared" ref="AT12:AY12" si="17">SUM(AT10:AT11)</f>
        <v>763.95745717581963</v>
      </c>
      <c r="AU12" s="183">
        <f t="shared" si="17"/>
        <v>764.44581899999537</v>
      </c>
      <c r="AV12" s="183">
        <f t="shared" si="17"/>
        <v>756.04169799999545</v>
      </c>
      <c r="AW12" s="183">
        <f t="shared" si="17"/>
        <v>761.10581899999534</v>
      </c>
      <c r="AX12" s="183">
        <f t="shared" si="17"/>
        <v>0</v>
      </c>
      <c r="AY12" s="183">
        <f t="shared" si="17"/>
        <v>0</v>
      </c>
      <c r="AZ12" s="20"/>
    </row>
    <row r="13" spans="1:52" x14ac:dyDescent="0.25">
      <c r="C13" s="5"/>
      <c r="D13" s="5"/>
      <c r="E13" s="5"/>
      <c r="F13" s="5"/>
      <c r="G13" s="7"/>
      <c r="H13" s="7"/>
      <c r="I13" s="7"/>
      <c r="J13" s="7"/>
      <c r="K13" s="7"/>
      <c r="L13" s="7"/>
      <c r="M13" s="7"/>
      <c r="N13" s="7"/>
      <c r="O13" s="7"/>
      <c r="P13" s="7"/>
      <c r="Q13" s="124"/>
      <c r="R13" s="124"/>
      <c r="S13" s="124"/>
      <c r="T13" s="102"/>
      <c r="U13" s="102"/>
      <c r="V13" s="102"/>
      <c r="W13" s="102"/>
      <c r="X13" s="102"/>
      <c r="Y13" s="102"/>
      <c r="Z13" s="102"/>
      <c r="AA13" s="102"/>
      <c r="AB13" s="102"/>
      <c r="AC13" s="102"/>
      <c r="AD13" s="102"/>
      <c r="AE13" s="200"/>
      <c r="AF13" s="200"/>
      <c r="AG13" s="102"/>
      <c r="AH13" s="102"/>
      <c r="AI13" s="102"/>
      <c r="AJ13" s="102"/>
      <c r="AK13" s="200"/>
      <c r="AL13" s="200"/>
      <c r="AM13" s="102"/>
      <c r="AN13" s="200"/>
      <c r="AO13" s="102"/>
      <c r="AP13" s="102"/>
      <c r="AQ13" s="102"/>
      <c r="AS13" s="200"/>
      <c r="AT13" s="200"/>
      <c r="AU13" s="102"/>
      <c r="AV13" s="200"/>
      <c r="AW13" s="102"/>
      <c r="AX13" s="102"/>
      <c r="AY13" s="102"/>
    </row>
    <row r="14" spans="1:52" x14ac:dyDescent="0.25">
      <c r="C14" s="5"/>
      <c r="D14" s="5"/>
      <c r="E14" s="5"/>
      <c r="F14" s="5"/>
      <c r="G14" s="7"/>
      <c r="H14" s="7"/>
      <c r="I14" s="7"/>
      <c r="J14" s="7"/>
      <c r="K14" s="7"/>
      <c r="L14" s="7"/>
      <c r="M14" s="7"/>
      <c r="N14" s="7"/>
      <c r="O14" s="7"/>
      <c r="P14" s="7"/>
      <c r="Q14" s="111"/>
      <c r="R14" s="111"/>
      <c r="S14" s="111"/>
      <c r="T14" s="102"/>
      <c r="U14" s="102"/>
      <c r="V14" s="102"/>
      <c r="W14" s="102"/>
      <c r="X14" s="102"/>
      <c r="Y14" s="102"/>
      <c r="Z14" s="102"/>
      <c r="AA14" s="102"/>
      <c r="AB14" s="102"/>
      <c r="AC14" s="102"/>
      <c r="AD14" s="102"/>
      <c r="AE14" s="200"/>
      <c r="AF14" s="200"/>
      <c r="AG14" s="102"/>
      <c r="AH14" s="102"/>
      <c r="AI14" s="102"/>
      <c r="AJ14" s="102"/>
      <c r="AK14" s="200"/>
      <c r="AL14" s="200"/>
      <c r="AM14" s="102"/>
      <c r="AN14" s="200"/>
      <c r="AO14" s="102"/>
      <c r="AP14" s="102"/>
      <c r="AQ14" s="102"/>
      <c r="AS14" s="200"/>
      <c r="AT14" s="200"/>
      <c r="AU14" s="102"/>
      <c r="AV14" s="200"/>
      <c r="AW14" s="102"/>
      <c r="AX14" s="102"/>
      <c r="AY14" s="102"/>
    </row>
    <row r="15" spans="1:52" s="14" customFormat="1" ht="16.5" customHeight="1" x14ac:dyDescent="0.35">
      <c r="A15" s="91" t="s">
        <v>187</v>
      </c>
      <c r="B15" s="309" t="s">
        <v>188</v>
      </c>
      <c r="C15" s="99">
        <v>-1.1100000000000001</v>
      </c>
      <c r="D15" s="92">
        <v>-0.5</v>
      </c>
      <c r="E15" s="93">
        <v>-1.57</v>
      </c>
      <c r="F15" s="93">
        <v>-0.21</v>
      </c>
      <c r="G15" s="94">
        <v>-1.73</v>
      </c>
      <c r="H15" s="94">
        <v>1.01</v>
      </c>
      <c r="I15" s="94">
        <v>-0.64</v>
      </c>
      <c r="J15" s="95">
        <v>1.94</v>
      </c>
      <c r="K15" s="94">
        <v>3.47</v>
      </c>
      <c r="L15" s="94">
        <v>5.4</v>
      </c>
      <c r="M15" s="94">
        <v>4.17</v>
      </c>
      <c r="N15" s="94">
        <v>9.52</v>
      </c>
      <c r="O15" s="94">
        <v>3.93</v>
      </c>
      <c r="P15" s="94">
        <v>13.53</v>
      </c>
      <c r="Q15" s="112">
        <v>4.28</v>
      </c>
      <c r="R15" s="113">
        <f t="shared" ref="R15:X15" si="18">+R3/R10</f>
        <v>4.2456709956709959</v>
      </c>
      <c r="S15" s="113">
        <f t="shared" si="18"/>
        <v>8.5254237288135588</v>
      </c>
      <c r="T15" s="113">
        <f t="shared" si="18"/>
        <v>1.1132286995515694</v>
      </c>
      <c r="U15" s="113">
        <f t="shared" si="18"/>
        <v>9.7634989200863931</v>
      </c>
      <c r="V15" s="128">
        <f t="shared" si="18"/>
        <v>0.30173410404624279</v>
      </c>
      <c r="W15" s="128">
        <f t="shared" si="18"/>
        <v>10.210757409440175</v>
      </c>
      <c r="X15" s="128">
        <f t="shared" si="18"/>
        <v>1.2754004717043044</v>
      </c>
      <c r="Y15" s="128">
        <f t="shared" ref="Y15:Z15" si="19">+Y3/Y10</f>
        <v>2.2087881107438716</v>
      </c>
      <c r="Z15" s="128">
        <f t="shared" si="19"/>
        <v>3.4720194071065755</v>
      </c>
      <c r="AA15" s="128">
        <f t="shared" ref="AA15:AB15" si="20">+AA3/AA10</f>
        <v>1.1083368908766351</v>
      </c>
      <c r="AB15" s="128">
        <f t="shared" si="20"/>
        <v>4.5863614239061867</v>
      </c>
      <c r="AC15" s="128">
        <f>IFERROR(+AC3/AC10,0)</f>
        <v>-3.5734939759036144</v>
      </c>
      <c r="AD15" s="128">
        <f>IFERROR(+AD3/AD10,0)</f>
        <v>1.0915299273962191</v>
      </c>
      <c r="AE15" s="113">
        <f t="shared" ref="AE15:AF15" si="21">+AE3/AE10</f>
        <v>1.1600383946962372</v>
      </c>
      <c r="AF15" s="113">
        <f t="shared" si="21"/>
        <v>0.63492330450470491</v>
      </c>
      <c r="AG15" s="128">
        <f t="shared" ref="AG15:AI15" si="22">+AG3/AG10</f>
        <v>0.36891478234618702</v>
      </c>
      <c r="AH15" s="128">
        <f t="shared" ref="AH15" si="23">+AH3/AH10</f>
        <v>-0.50518134715025909</v>
      </c>
      <c r="AI15" s="184">
        <f t="shared" si="22"/>
        <v>1.6992385786802031</v>
      </c>
      <c r="AJ15" s="128">
        <f t="shared" ref="AJ15:AK15" si="24">+AJ3/AJ10</f>
        <v>1.7982904184070443</v>
      </c>
      <c r="AK15" s="223">
        <f t="shared" si="24"/>
        <v>1.0481770833333333</v>
      </c>
      <c r="AL15" s="223">
        <f t="shared" ref="AL15:AM15" si="25">+AL3/AL10</f>
        <v>2.3542655882378973</v>
      </c>
      <c r="AM15" s="238">
        <f t="shared" si="25"/>
        <v>3.3963028651439986</v>
      </c>
      <c r="AN15" s="223">
        <f t="shared" ref="AN15" si="26">+AN3/AN10</f>
        <v>0.49547272313247742</v>
      </c>
      <c r="AO15" s="238">
        <f t="shared" ref="AO15:AQ15" si="27">+AO3/AO10</f>
        <v>3.8967800050369052</v>
      </c>
      <c r="AP15" s="238">
        <f t="shared" ref="AP15" si="28">+AP3/AP10</f>
        <v>0.23272992853077057</v>
      </c>
      <c r="AQ15" s="238">
        <f t="shared" si="27"/>
        <v>4.1308939575560837</v>
      </c>
      <c r="AR15" s="252"/>
      <c r="AS15" s="223">
        <f t="shared" ref="AS15:AY15" si="29">+AS3/AS10</f>
        <v>0.75545985387207504</v>
      </c>
      <c r="AT15" s="223">
        <f t="shared" si="29"/>
        <v>0.89873451934821247</v>
      </c>
      <c r="AU15" s="238">
        <f t="shared" si="29"/>
        <v>1.653857772667265</v>
      </c>
      <c r="AV15" s="223">
        <f t="shared" si="29"/>
        <v>0</v>
      </c>
      <c r="AW15" s="238">
        <f t="shared" si="29"/>
        <v>0</v>
      </c>
      <c r="AX15" s="238" t="e">
        <f t="shared" si="29"/>
        <v>#DIV/0!</v>
      </c>
      <c r="AY15" s="238" t="e">
        <f t="shared" si="29"/>
        <v>#DIV/0!</v>
      </c>
      <c r="AZ15" s="252" t="s">
        <v>189</v>
      </c>
    </row>
    <row r="16" spans="1:52" s="14" customFormat="1" ht="16.5" customHeight="1" x14ac:dyDescent="0.35">
      <c r="A16" s="96" t="s">
        <v>190</v>
      </c>
      <c r="B16" s="310"/>
      <c r="C16" s="100">
        <v>-1.1100000000000001</v>
      </c>
      <c r="D16" s="97">
        <v>-0.5</v>
      </c>
      <c r="E16" s="97">
        <v>-1.57</v>
      </c>
      <c r="F16" s="97">
        <v>-0.21</v>
      </c>
      <c r="G16" s="98">
        <v>-1.73</v>
      </c>
      <c r="H16" s="98">
        <v>1</v>
      </c>
      <c r="I16" s="98">
        <v>-0.64</v>
      </c>
      <c r="J16" s="98">
        <v>1.93</v>
      </c>
      <c r="K16" s="98">
        <v>3.46</v>
      </c>
      <c r="L16" s="98">
        <v>5.39</v>
      </c>
      <c r="M16" s="98">
        <v>4.16</v>
      </c>
      <c r="N16" s="98">
        <v>9.49</v>
      </c>
      <c r="O16" s="98">
        <v>3.92</v>
      </c>
      <c r="P16" s="98">
        <v>13.49</v>
      </c>
      <c r="Q16" s="114">
        <v>4.2699999999999996</v>
      </c>
      <c r="R16" s="114">
        <f t="shared" ref="R16:X16" si="30">R3/R12</f>
        <v>4.2365010799136069</v>
      </c>
      <c r="S16" s="114">
        <f t="shared" si="30"/>
        <v>8.5073995771670194</v>
      </c>
      <c r="T16" s="114">
        <f t="shared" si="30"/>
        <v>1.1094972067039106</v>
      </c>
      <c r="U16" s="114">
        <f t="shared" si="30"/>
        <v>9.7319698600645861</v>
      </c>
      <c r="V16" s="129">
        <f t="shared" si="30"/>
        <v>0.30069124423963134</v>
      </c>
      <c r="W16" s="129">
        <f t="shared" si="30"/>
        <v>10.177242888402626</v>
      </c>
      <c r="X16" s="129">
        <f t="shared" si="30"/>
        <v>1.2709634623992052</v>
      </c>
      <c r="Y16" s="129">
        <f t="shared" ref="Y16:Z16" si="31">Y3/Y12</f>
        <v>2.2009462594631239</v>
      </c>
      <c r="Z16" s="129">
        <f t="shared" si="31"/>
        <v>3.4598274419979775</v>
      </c>
      <c r="AA16" s="129">
        <f t="shared" ref="AA16:AB16" si="32">AA3/AA12</f>
        <v>1.1043832515512726</v>
      </c>
      <c r="AB16" s="129">
        <f t="shared" si="32"/>
        <v>4.5701742659394595</v>
      </c>
      <c r="AC16" s="129">
        <f>IFERROR(AC3/AC12,0)</f>
        <v>-3.5734939759036144</v>
      </c>
      <c r="AD16" s="129">
        <f>IFERROR(AD3/AD12,0)</f>
        <v>1.0876543866550945</v>
      </c>
      <c r="AE16" s="114">
        <f t="shared" ref="AE16:AF16" si="33">AE3/AE12</f>
        <v>1.1571776341667768</v>
      </c>
      <c r="AF16" s="114">
        <f t="shared" si="33"/>
        <v>0.63237139272271015</v>
      </c>
      <c r="AG16" s="129">
        <f t="shared" ref="AG16:AI16" si="34">AG3/AG12</f>
        <v>0.36796912225211964</v>
      </c>
      <c r="AH16" s="129">
        <f>AH15</f>
        <v>-0.50518134715025909</v>
      </c>
      <c r="AI16" s="185">
        <f t="shared" si="34"/>
        <v>1.6949367088607594</v>
      </c>
      <c r="AJ16" s="129">
        <f t="shared" ref="AJ16:AK16" si="35">AJ3/AJ12</f>
        <v>1.7938163507843019</v>
      </c>
      <c r="AK16" s="224">
        <f t="shared" si="35"/>
        <v>1.044776119402985</v>
      </c>
      <c r="AL16" s="224">
        <f t="shared" ref="AL16:AM16" si="36">AL3/AL12</f>
        <v>2.3437908496732027</v>
      </c>
      <c r="AM16" s="239">
        <f t="shared" si="36"/>
        <v>3.3830351837497119</v>
      </c>
      <c r="AN16" s="224">
        <f t="shared" ref="AN16" si="37">AN3/AN12</f>
        <v>0.49345549738219896</v>
      </c>
      <c r="AO16" s="239">
        <f t="shared" ref="AO16:AQ16" si="38">AO3/AO12</f>
        <v>3.881527441819141</v>
      </c>
      <c r="AP16" s="239">
        <f t="shared" ref="AP16" si="39">AP3/AP12</f>
        <v>0.23181551483247756</v>
      </c>
      <c r="AQ16" s="239">
        <f t="shared" si="38"/>
        <v>4.1147177450203563</v>
      </c>
      <c r="AR16" s="252"/>
      <c r="AS16" s="224">
        <f>AS3/AS12</f>
        <v>0.7524938769278825</v>
      </c>
      <c r="AT16" s="224">
        <f t="shared" ref="AT16:AY16" si="40">AT3/AT12</f>
        <v>0.8940288409840238</v>
      </c>
      <c r="AU16" s="239">
        <f t="shared" si="40"/>
        <v>1.6456365758473821</v>
      </c>
      <c r="AV16" s="224">
        <f t="shared" si="40"/>
        <v>0</v>
      </c>
      <c r="AW16" s="239">
        <f t="shared" si="40"/>
        <v>0</v>
      </c>
      <c r="AX16" s="239" t="e">
        <f t="shared" si="40"/>
        <v>#DIV/0!</v>
      </c>
      <c r="AY16" s="239" t="e">
        <f t="shared" si="40"/>
        <v>#DIV/0!</v>
      </c>
      <c r="AZ16" s="252" t="s">
        <v>189</v>
      </c>
    </row>
    <row r="17" spans="1:19" x14ac:dyDescent="0.25">
      <c r="Q17" s="115"/>
      <c r="R17" s="115"/>
      <c r="S17" s="115"/>
    </row>
    <row r="18" spans="1:19" x14ac:dyDescent="0.25">
      <c r="A18" s="4" t="s">
        <v>191</v>
      </c>
      <c r="Q18" s="115"/>
      <c r="R18" s="115"/>
      <c r="S18" s="115"/>
    </row>
    <row r="19" spans="1:19" x14ac:dyDescent="0.25">
      <c r="A19" s="154" t="s">
        <v>239</v>
      </c>
      <c r="B19" s="148"/>
      <c r="C19" s="155"/>
      <c r="D19" s="155"/>
      <c r="E19" s="155"/>
      <c r="F19" s="155"/>
      <c r="G19" s="155"/>
      <c r="H19" s="155"/>
      <c r="I19" s="156"/>
      <c r="J19" s="155"/>
      <c r="K19" s="155"/>
      <c r="L19" s="155"/>
      <c r="M19" s="155"/>
      <c r="N19" s="155"/>
      <c r="O19" s="155"/>
      <c r="P19" s="155"/>
      <c r="Q19" s="155"/>
      <c r="R19" s="155"/>
      <c r="S19" s="155"/>
    </row>
    <row r="20" spans="1:19" x14ac:dyDescent="0.25">
      <c r="B20" s="148"/>
      <c r="C20" s="155"/>
      <c r="D20" s="155"/>
      <c r="E20" s="155"/>
      <c r="F20" s="155"/>
      <c r="G20" s="155"/>
      <c r="H20" s="155"/>
      <c r="I20" s="156"/>
      <c r="J20" s="155"/>
      <c r="K20" s="155"/>
      <c r="L20" s="155"/>
      <c r="M20" s="155"/>
      <c r="N20" s="155"/>
      <c r="O20" s="155"/>
      <c r="P20" s="155"/>
      <c r="Q20" s="155"/>
      <c r="R20" s="155"/>
      <c r="S20" s="155"/>
    </row>
    <row r="21" spans="1:19" x14ac:dyDescent="0.25">
      <c r="B21" s="148"/>
      <c r="C21" s="155"/>
      <c r="D21" s="155"/>
      <c r="E21" s="155"/>
      <c r="F21" s="155"/>
      <c r="G21" s="155"/>
      <c r="H21" s="155"/>
      <c r="I21" s="155"/>
      <c r="J21" s="155"/>
      <c r="K21" s="155"/>
      <c r="L21" s="155"/>
      <c r="M21" s="155"/>
      <c r="N21" s="155"/>
      <c r="O21" s="155"/>
      <c r="P21" s="155"/>
      <c r="Q21" s="155"/>
      <c r="R21" s="155"/>
      <c r="S21" s="155"/>
    </row>
  </sheetData>
  <mergeCells count="7">
    <mergeCell ref="AH1:AI1"/>
    <mergeCell ref="AC1:AD1"/>
    <mergeCell ref="B5:B12"/>
    <mergeCell ref="B15:B16"/>
    <mergeCell ref="T1:U1"/>
    <mergeCell ref="V1:W1"/>
    <mergeCell ref="AA1:AB1"/>
  </mergeCells>
  <pageMargins left="0.25" right="0.25" top="0.75" bottom="0.75" header="0.3" footer="0.3"/>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Share buyback program SBB </vt:lpstr>
      <vt:lpstr>SBB cash</vt:lpstr>
      <vt:lpstr>Shares issued, TS &amp; outstanding</vt:lpstr>
      <vt:lpstr>EPS</vt:lpstr>
      <vt:lpstr>EPS!Print_Area</vt:lpstr>
      <vt:lpstr>'Share buyback program SBB '!Print_Area</vt:lpstr>
      <vt:lpstr>'Shares issued, TS &amp; outstanding'!Print_Area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SCHUMACHER Laurent</dc:creator>
  <cp:keywords/>
  <dc:description/>
  <cp:lastModifiedBy>Schumacher, Laurent</cp:lastModifiedBy>
  <cp:revision/>
  <cp:lastPrinted>2025-10-07T07:40:20Z</cp:lastPrinted>
  <dcterms:created xsi:type="dcterms:W3CDTF">2022-05-30T08:48:34Z</dcterms:created>
  <dcterms:modified xsi:type="dcterms:W3CDTF">2026-10-06T11:58:58Z</dcterms:modified>
  <cp:category/>
  <cp:contentStatus/>
</cp:coreProperties>
</file>